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bookViews>
    <workbookView xWindow="0" yWindow="0" windowWidth="25200" windowHeight="11985"/>
  </bookViews>
  <sheets>
    <sheet name="Range" sheetId="1" r:id="rId1"/>
    <sheet name="Signal Chains" sheetId="9" r:id="rId2"/>
    <sheet name="diagram" sheetId="5" r:id="rId3"/>
    <sheet name="components" sheetId="7" r:id="rId4"/>
    <sheet name="Compnonent Power" sheetId="11" state="hidden" r:id="rId5"/>
    <sheet name="TX chain" sheetId="14" r:id="rId6"/>
    <sheet name="Rx chain" sheetId="15" r:id="rId7"/>
    <sheet name="IQ demod" sheetId="16" r:id="rId8"/>
    <sheet name="Cables " sheetId="17" r:id="rId9"/>
  </sheets>
  <definedNames>
    <definedName name="_xlnm.Print_Area" localSheetId="2">diagram!$A$2:$M$24</definedName>
    <definedName name="_xlnm.Print_Area" localSheetId="7">'IQ demod'!$A$1:$G$15</definedName>
  </definedNames>
  <calcPr calcId="152511"/>
</workbook>
</file>

<file path=xl/calcChain.xml><?xml version="1.0" encoding="utf-8"?>
<calcChain xmlns="http://schemas.openxmlformats.org/spreadsheetml/2006/main">
  <c r="A10" i="17" l="1"/>
  <c r="C10" i="17" s="1"/>
  <c r="C9" i="17"/>
  <c r="A9" i="17"/>
  <c r="A8" i="17"/>
  <c r="C8" i="17" s="1"/>
  <c r="A7" i="17"/>
  <c r="C7" i="17" s="1"/>
  <c r="A6" i="17"/>
  <c r="C6" i="17" s="1"/>
  <c r="C5" i="17"/>
  <c r="A5" i="17"/>
  <c r="E15" i="16"/>
  <c r="D15" i="16"/>
  <c r="A15" i="16"/>
  <c r="A14" i="16"/>
  <c r="D13" i="16"/>
  <c r="A12" i="16"/>
  <c r="D11" i="16"/>
  <c r="A11" i="16"/>
  <c r="D10" i="16"/>
  <c r="A9" i="16"/>
  <c r="D8" i="16"/>
  <c r="D7" i="16"/>
  <c r="D6" i="16"/>
  <c r="A6" i="16"/>
  <c r="A5" i="16"/>
  <c r="D4" i="16"/>
  <c r="A4" i="16"/>
  <c r="A3" i="16"/>
  <c r="E2" i="16"/>
  <c r="F2" i="16" s="1"/>
  <c r="D2" i="16"/>
  <c r="B2" i="16"/>
  <c r="C2" i="16" s="1"/>
  <c r="A2" i="16"/>
  <c r="E14" i="15"/>
  <c r="D14" i="15"/>
  <c r="A14" i="15"/>
  <c r="D13" i="15"/>
  <c r="A13" i="15"/>
  <c r="I12" i="15"/>
  <c r="D12" i="15"/>
  <c r="A12" i="15"/>
  <c r="L11" i="15"/>
  <c r="D11" i="15"/>
  <c r="A11" i="15"/>
  <c r="I10" i="15"/>
  <c r="D10" i="15"/>
  <c r="A10" i="15"/>
  <c r="D9" i="15"/>
  <c r="A9" i="15"/>
  <c r="L8" i="15"/>
  <c r="I8" i="15"/>
  <c r="D8" i="15"/>
  <c r="A8" i="15"/>
  <c r="E7" i="15"/>
  <c r="D7" i="15"/>
  <c r="A7" i="15"/>
  <c r="A6" i="15"/>
  <c r="D5" i="15"/>
  <c r="A5" i="15"/>
  <c r="D4" i="15"/>
  <c r="A4" i="15"/>
  <c r="A21" i="14"/>
  <c r="D20" i="14"/>
  <c r="A20" i="14"/>
  <c r="D19" i="14"/>
  <c r="A19" i="14"/>
  <c r="D18" i="14"/>
  <c r="A18" i="14"/>
  <c r="D17" i="14"/>
  <c r="A17" i="14"/>
  <c r="A16" i="14"/>
  <c r="D15" i="14"/>
  <c r="A15" i="14"/>
  <c r="D14" i="14"/>
  <c r="A14" i="14"/>
  <c r="D13" i="14"/>
  <c r="A13" i="14"/>
  <c r="A12" i="14"/>
  <c r="D11" i="14"/>
  <c r="A11" i="14"/>
  <c r="D10" i="14"/>
  <c r="A10" i="14"/>
  <c r="D9" i="14"/>
  <c r="A9" i="14"/>
  <c r="A8" i="14"/>
  <c r="D7" i="14"/>
  <c r="A7" i="14"/>
  <c r="D6" i="14"/>
  <c r="A6" i="14"/>
  <c r="D5" i="14"/>
  <c r="A5" i="14"/>
  <c r="B4" i="14"/>
  <c r="C4" i="14" s="1"/>
  <c r="A4" i="14"/>
  <c r="E3" i="14"/>
  <c r="F3" i="14" s="1"/>
  <c r="H3" i="14" s="1"/>
  <c r="D3" i="14"/>
  <c r="B3" i="14"/>
  <c r="C3" i="14" s="1"/>
  <c r="A3" i="14"/>
  <c r="J27" i="9"/>
  <c r="L12" i="15" s="1"/>
  <c r="G27" i="9"/>
  <c r="L9" i="15" s="1"/>
  <c r="F27" i="9"/>
  <c r="E27" i="9"/>
  <c r="L7" i="15" s="1"/>
  <c r="C27" i="9"/>
  <c r="L5" i="15" s="1"/>
  <c r="L25" i="9"/>
  <c r="J14" i="15" s="1"/>
  <c r="J25" i="9"/>
  <c r="J12" i="15" s="1"/>
  <c r="I25" i="9"/>
  <c r="J11" i="15" s="1"/>
  <c r="H25" i="9"/>
  <c r="J10" i="15" s="1"/>
  <c r="F25" i="9"/>
  <c r="J8" i="15" s="1"/>
  <c r="C25" i="9"/>
  <c r="J5" i="15" s="1"/>
  <c r="L24" i="9"/>
  <c r="H24" i="9"/>
  <c r="H27" i="9" s="1"/>
  <c r="L10" i="15" s="1"/>
  <c r="G24" i="9"/>
  <c r="E24" i="9"/>
  <c r="I7" i="15" s="1"/>
  <c r="C24" i="9"/>
  <c r="I5" i="15" s="1"/>
  <c r="B24" i="9"/>
  <c r="L20" i="9"/>
  <c r="J20" i="9"/>
  <c r="E12" i="15" s="1"/>
  <c r="I20" i="9"/>
  <c r="E11" i="15" s="1"/>
  <c r="H20" i="9"/>
  <c r="E10" i="15" s="1"/>
  <c r="F20" i="9"/>
  <c r="E8" i="15" s="1"/>
  <c r="E20" i="9"/>
  <c r="D20" i="9"/>
  <c r="E6" i="15" s="1"/>
  <c r="C20" i="9"/>
  <c r="E5" i="15" s="1"/>
  <c r="M19" i="9"/>
  <c r="M20" i="9" s="1"/>
  <c r="K19" i="9"/>
  <c r="K20" i="9" s="1"/>
  <c r="E13" i="15" s="1"/>
  <c r="I19" i="9"/>
  <c r="I24" i="9" s="1"/>
  <c r="I27" i="9" s="1"/>
  <c r="G19" i="9"/>
  <c r="G20" i="9" s="1"/>
  <c r="E9" i="15" s="1"/>
  <c r="D19" i="9"/>
  <c r="B19" i="9"/>
  <c r="B20" i="9" s="1"/>
  <c r="E4" i="15" s="1"/>
  <c r="M18" i="9"/>
  <c r="B13" i="9"/>
  <c r="C10" i="9" s="1"/>
  <c r="C13" i="9" s="1"/>
  <c r="N12" i="9"/>
  <c r="D14" i="16" s="1"/>
  <c r="L12" i="9"/>
  <c r="D12" i="16" s="1"/>
  <c r="I12" i="9"/>
  <c r="D9" i="16" s="1"/>
  <c r="G12" i="9"/>
  <c r="E12" i="9"/>
  <c r="D5" i="16" s="1"/>
  <c r="C12" i="9"/>
  <c r="D3" i="16" s="1"/>
  <c r="C6" i="9"/>
  <c r="D3" i="9" s="1"/>
  <c r="T5" i="9"/>
  <c r="D21" i="14" s="1"/>
  <c r="R5" i="9"/>
  <c r="O5" i="9"/>
  <c r="D16" i="14" s="1"/>
  <c r="M5" i="9"/>
  <c r="K5" i="9"/>
  <c r="D12" i="14" s="1"/>
  <c r="G5" i="9"/>
  <c r="D8" i="14" s="1"/>
  <c r="E5" i="9"/>
  <c r="C5" i="9"/>
  <c r="D4" i="14" s="1"/>
  <c r="C3" i="9"/>
  <c r="D59" i="1"/>
  <c r="D60" i="1" s="1"/>
  <c r="D54" i="1"/>
  <c r="D52" i="1"/>
  <c r="D56" i="1" s="1"/>
  <c r="D57" i="1" s="1"/>
  <c r="D9" i="1" s="1"/>
  <c r="D10" i="1" s="1"/>
  <c r="D43" i="1"/>
  <c r="D49" i="1" s="1"/>
  <c r="D42" i="1"/>
  <c r="D36" i="1"/>
  <c r="D37" i="1" s="1"/>
  <c r="D38" i="1" s="1"/>
  <c r="G31" i="1" s="1"/>
  <c r="G32" i="1" s="1"/>
  <c r="G35" i="1"/>
  <c r="D28" i="1"/>
  <c r="D30" i="1" s="1"/>
  <c r="D19" i="1"/>
  <c r="D20" i="1" s="1"/>
  <c r="D15" i="1"/>
  <c r="D14" i="1"/>
  <c r="H13" i="1"/>
  <c r="D13" i="1"/>
  <c r="H12" i="1"/>
  <c r="D6" i="1"/>
  <c r="E3" i="16" l="1"/>
  <c r="F3" i="16" s="1"/>
  <c r="D10" i="9"/>
  <c r="B5" i="14"/>
  <c r="C5" i="14" s="1"/>
  <c r="D6" i="9"/>
  <c r="E25" i="9"/>
  <c r="J7" i="15" s="1"/>
  <c r="D6" i="15"/>
  <c r="D24" i="9"/>
  <c r="I4" i="15"/>
  <c r="B25" i="9"/>
  <c r="E4" i="14"/>
  <c r="F4" i="14" s="1"/>
  <c r="H4" i="14" s="1"/>
  <c r="I9" i="15"/>
  <c r="G25" i="9"/>
  <c r="J9" i="15" s="1"/>
  <c r="L27" i="9"/>
  <c r="L14" i="15" s="1"/>
  <c r="I14" i="15"/>
  <c r="B3" i="16"/>
  <c r="C3" i="16" s="1"/>
  <c r="E56" i="1"/>
  <c r="D47" i="1"/>
  <c r="B27" i="9"/>
  <c r="L4" i="15" s="1"/>
  <c r="K24" i="9"/>
  <c r="D27" i="9" l="1"/>
  <c r="L6" i="15" s="1"/>
  <c r="I6" i="15"/>
  <c r="D25" i="9"/>
  <c r="J6" i="15" s="1"/>
  <c r="I13" i="15"/>
  <c r="K25" i="9"/>
  <c r="J13" i="15" s="1"/>
  <c r="I11" i="15"/>
  <c r="K27" i="9"/>
  <c r="L13" i="15" s="1"/>
  <c r="E5" i="14"/>
  <c r="F5" i="14" s="1"/>
  <c r="H5" i="14" s="1"/>
  <c r="E3" i="9"/>
  <c r="E34" i="9"/>
  <c r="B4" i="16"/>
  <c r="C4" i="16" s="1"/>
  <c r="D13" i="9"/>
  <c r="J4" i="15"/>
  <c r="B26" i="9"/>
  <c r="B6" i="14" l="1"/>
  <c r="C6" i="14" s="1"/>
  <c r="E6" i="9"/>
  <c r="C26" i="9"/>
  <c r="K4" i="15"/>
  <c r="B28" i="9"/>
  <c r="M4" i="15" s="1"/>
  <c r="E10" i="9"/>
  <c r="E4" i="16"/>
  <c r="F4" i="16" s="1"/>
  <c r="D26" i="9" l="1"/>
  <c r="C28" i="9"/>
  <c r="M5" i="15" s="1"/>
  <c r="K5" i="15"/>
  <c r="E6" i="14"/>
  <c r="F6" i="14" s="1"/>
  <c r="H6" i="14" s="1"/>
  <c r="F3" i="9"/>
  <c r="B5" i="16"/>
  <c r="C5" i="16" s="1"/>
  <c r="E13" i="9"/>
  <c r="K6" i="15" l="1"/>
  <c r="D28" i="9"/>
  <c r="M6" i="15" s="1"/>
  <c r="E26" i="9"/>
  <c r="E5" i="16"/>
  <c r="F5" i="16" s="1"/>
  <c r="F10" i="9"/>
  <c r="F6" i="9"/>
  <c r="B7" i="14"/>
  <c r="C7" i="14" s="1"/>
  <c r="K7" i="15" l="1"/>
  <c r="E28" i="9"/>
  <c r="M7" i="15" s="1"/>
  <c r="F26" i="9"/>
  <c r="G3" i="9"/>
  <c r="E7" i="14"/>
  <c r="F7" i="14" s="1"/>
  <c r="H7" i="14" s="1"/>
  <c r="F13" i="9"/>
  <c r="B6" i="16"/>
  <c r="C6" i="16" s="1"/>
  <c r="G26" i="9" l="1"/>
  <c r="F28" i="9"/>
  <c r="M8" i="15" s="1"/>
  <c r="K8" i="15"/>
  <c r="E6" i="16"/>
  <c r="F6" i="16" s="1"/>
  <c r="G10" i="9"/>
  <c r="G6" i="9"/>
  <c r="B8" i="14"/>
  <c r="C8" i="14" s="1"/>
  <c r="H26" i="9" l="1"/>
  <c r="G28" i="9"/>
  <c r="M9" i="15" s="1"/>
  <c r="K9" i="15"/>
  <c r="E8" i="14"/>
  <c r="F8" i="14" s="1"/>
  <c r="H8" i="14" s="1"/>
  <c r="H3" i="9"/>
  <c r="B7" i="16"/>
  <c r="C7" i="16" s="1"/>
  <c r="G13" i="9"/>
  <c r="K10" i="15" l="1"/>
  <c r="I26" i="9"/>
  <c r="H28" i="9"/>
  <c r="M10" i="15" s="1"/>
  <c r="E7" i="16"/>
  <c r="F7" i="16" s="1"/>
  <c r="H10" i="9"/>
  <c r="H6" i="9"/>
  <c r="B9" i="14"/>
  <c r="C9" i="14" s="1"/>
  <c r="K11" i="15" l="1"/>
  <c r="I28" i="9"/>
  <c r="M11" i="15" s="1"/>
  <c r="J26" i="9"/>
  <c r="E9" i="14"/>
  <c r="F9" i="14" s="1"/>
  <c r="H9" i="14" s="1"/>
  <c r="I3" i="9"/>
  <c r="B8" i="16"/>
  <c r="C8" i="16" s="1"/>
  <c r="H13" i="9"/>
  <c r="K26" i="9" l="1"/>
  <c r="K12" i="15"/>
  <c r="J28" i="9"/>
  <c r="M12" i="15" s="1"/>
  <c r="E8" i="16"/>
  <c r="F8" i="16" s="1"/>
  <c r="I10" i="9"/>
  <c r="B10" i="14"/>
  <c r="C10" i="14" s="1"/>
  <c r="I6" i="9"/>
  <c r="L26" i="9" l="1"/>
  <c r="K13" i="15"/>
  <c r="K28" i="9"/>
  <c r="M13" i="15" s="1"/>
  <c r="E10" i="14"/>
  <c r="F10" i="14" s="1"/>
  <c r="H10" i="14" s="1"/>
  <c r="J3" i="9"/>
  <c r="B9" i="16"/>
  <c r="C9" i="16" s="1"/>
  <c r="I13" i="9"/>
  <c r="C33" i="9" l="1"/>
  <c r="C34" i="9" s="1"/>
  <c r="K14" i="15"/>
  <c r="L28" i="9"/>
  <c r="L35" i="9"/>
  <c r="L36" i="9" s="1"/>
  <c r="J10" i="9"/>
  <c r="E9" i="16"/>
  <c r="F9" i="16" s="1"/>
  <c r="J6" i="9"/>
  <c r="B11" i="14"/>
  <c r="C11" i="14" s="1"/>
  <c r="K3" i="9" l="1"/>
  <c r="E11" i="14"/>
  <c r="F11" i="14" s="1"/>
  <c r="H11" i="14" s="1"/>
  <c r="B10" i="16"/>
  <c r="C10" i="16" s="1"/>
  <c r="J13" i="9"/>
  <c r="C35" i="9"/>
  <c r="M14" i="15"/>
  <c r="K6" i="9" l="1"/>
  <c r="B12" i="14"/>
  <c r="C12" i="14" s="1"/>
  <c r="K10" i="9"/>
  <c r="E10" i="16"/>
  <c r="F10" i="16" s="1"/>
  <c r="B11" i="16" l="1"/>
  <c r="C11" i="16" s="1"/>
  <c r="K13" i="9"/>
  <c r="E12" i="14"/>
  <c r="F12" i="14" s="1"/>
  <c r="H12" i="14" s="1"/>
  <c r="L3" i="9"/>
  <c r="E11" i="16" l="1"/>
  <c r="F11" i="16" s="1"/>
  <c r="L10" i="9"/>
  <c r="B13" i="14"/>
  <c r="C13" i="14" s="1"/>
  <c r="L6" i="9"/>
  <c r="B12" i="16" l="1"/>
  <c r="C12" i="16" s="1"/>
  <c r="L13" i="9"/>
  <c r="E13" i="14"/>
  <c r="F13" i="14" s="1"/>
  <c r="H13" i="14" s="1"/>
  <c r="M3" i="9"/>
  <c r="E12" i="16" l="1"/>
  <c r="F12" i="16" s="1"/>
  <c r="M10" i="9"/>
  <c r="B14" i="14"/>
  <c r="C14" i="14" s="1"/>
  <c r="M6" i="9"/>
  <c r="B13" i="16" l="1"/>
  <c r="C13" i="16" s="1"/>
  <c r="M13" i="9"/>
  <c r="E14" i="14"/>
  <c r="F14" i="14" s="1"/>
  <c r="H14" i="14" s="1"/>
  <c r="N3" i="9"/>
  <c r="E13" i="16" l="1"/>
  <c r="F13" i="16" s="1"/>
  <c r="N10" i="9"/>
  <c r="B15" i="14"/>
  <c r="C15" i="14" s="1"/>
  <c r="N6" i="9"/>
  <c r="N13" i="9" l="1"/>
  <c r="B14" i="16"/>
  <c r="C14" i="16" s="1"/>
  <c r="O3" i="9"/>
  <c r="E15" i="14"/>
  <c r="F15" i="14" s="1"/>
  <c r="H15" i="14" s="1"/>
  <c r="O6" i="9" l="1"/>
  <c r="B16" i="14"/>
  <c r="C16" i="14" s="1"/>
  <c r="E14" i="16"/>
  <c r="F14" i="16" s="1"/>
  <c r="O10" i="9"/>
  <c r="B15" i="16" s="1"/>
  <c r="C15" i="16" s="1"/>
  <c r="E16" i="14" l="1"/>
  <c r="F16" i="14" s="1"/>
  <c r="H16" i="14" s="1"/>
  <c r="P3" i="9"/>
  <c r="P6" i="9" l="1"/>
  <c r="B17" i="14"/>
  <c r="C17" i="14" s="1"/>
  <c r="E17" i="14" l="1"/>
  <c r="F17" i="14" s="1"/>
  <c r="H17" i="14" s="1"/>
  <c r="Q3" i="9"/>
  <c r="B18" i="14" l="1"/>
  <c r="C18" i="14" s="1"/>
  <c r="Q6" i="9"/>
  <c r="E18" i="14" l="1"/>
  <c r="F18" i="14" s="1"/>
  <c r="H18" i="14" s="1"/>
  <c r="R3" i="9"/>
  <c r="B19" i="14" l="1"/>
  <c r="C19" i="14" s="1"/>
  <c r="R6" i="9"/>
  <c r="S3" i="9" l="1"/>
  <c r="E19" i="14"/>
  <c r="F19" i="14" s="1"/>
  <c r="H19" i="14" s="1"/>
  <c r="S6" i="9" l="1"/>
  <c r="B20" i="14"/>
  <c r="C20" i="14" s="1"/>
  <c r="T3" i="9" l="1"/>
  <c r="E20" i="14"/>
  <c r="F20" i="14" s="1"/>
  <c r="H20" i="14" s="1"/>
  <c r="B21" i="14" l="1"/>
  <c r="C21" i="14" s="1"/>
  <c r="T6" i="9"/>
  <c r="U6" i="9" l="1"/>
  <c r="E21" i="14"/>
  <c r="F21" i="14" s="1"/>
  <c r="H21" i="14" s="1"/>
  <c r="D4" i="1"/>
  <c r="D3" i="1" l="1"/>
  <c r="H7" i="1"/>
  <c r="E23" i="1" l="1"/>
  <c r="E24" i="1" s="1"/>
  <c r="B17" i="9" s="1"/>
  <c r="H3" i="1"/>
  <c r="H4" i="1" s="1"/>
  <c r="H5" i="1" s="1"/>
  <c r="D23" i="1"/>
  <c r="B4" i="15" l="1"/>
  <c r="C4" i="15" s="1"/>
  <c r="B21" i="9"/>
  <c r="D25" i="1"/>
  <c r="D26" i="1" s="1"/>
  <c r="D32" i="1" s="1"/>
  <c r="D33" i="1" s="1"/>
  <c r="D24" i="1"/>
  <c r="D39" i="1" s="1"/>
  <c r="F4" i="15" l="1"/>
  <c r="C17" i="9"/>
  <c r="B23" i="9"/>
  <c r="B22" i="9"/>
  <c r="H4" i="15" l="1"/>
  <c r="G4" i="15"/>
  <c r="C21" i="9"/>
  <c r="B5" i="15"/>
  <c r="C5" i="15" s="1"/>
  <c r="F5" i="15" l="1"/>
  <c r="C23" i="9"/>
  <c r="C22" i="9"/>
  <c r="D17" i="9"/>
  <c r="H5" i="15" l="1"/>
  <c r="G5" i="15"/>
  <c r="D21" i="9"/>
  <c r="B6" i="15"/>
  <c r="C6" i="15" s="1"/>
  <c r="D23" i="9" l="1"/>
  <c r="D22" i="9"/>
  <c r="E17" i="9"/>
  <c r="F6" i="15"/>
  <c r="H6" i="15" l="1"/>
  <c r="G6" i="15"/>
  <c r="B7" i="15"/>
  <c r="C7" i="15" s="1"/>
  <c r="E21" i="9"/>
  <c r="E23" i="9" l="1"/>
  <c r="F17" i="9"/>
  <c r="E22" i="9"/>
  <c r="F7" i="15"/>
  <c r="G7" i="15" l="1"/>
  <c r="H7" i="15"/>
  <c r="B8" i="15"/>
  <c r="C8" i="15" s="1"/>
  <c r="F21" i="9"/>
  <c r="F8" i="15" l="1"/>
  <c r="G17" i="9"/>
  <c r="F22" i="9"/>
  <c r="F23" i="9"/>
  <c r="G8" i="15" l="1"/>
  <c r="H8" i="15"/>
  <c r="G21" i="9"/>
  <c r="B9" i="15"/>
  <c r="C9" i="15" s="1"/>
  <c r="G22" i="9" l="1"/>
  <c r="G23" i="9"/>
  <c r="H17" i="9"/>
  <c r="F9" i="15"/>
  <c r="H9" i="15" l="1"/>
  <c r="G9" i="15"/>
  <c r="B10" i="15"/>
  <c r="C10" i="15" s="1"/>
  <c r="H21" i="9"/>
  <c r="H22" i="9" l="1"/>
  <c r="I17" i="9"/>
  <c r="H23" i="9"/>
  <c r="F10" i="15"/>
  <c r="H10" i="15" l="1"/>
  <c r="G10" i="15"/>
  <c r="I21" i="9"/>
  <c r="B11" i="15"/>
  <c r="C11" i="15" s="1"/>
  <c r="I22" i="9" l="1"/>
  <c r="J17" i="9"/>
  <c r="F11" i="15"/>
  <c r="I23" i="9"/>
  <c r="G11" i="15" l="1"/>
  <c r="H11" i="15"/>
  <c r="B12" i="15"/>
  <c r="C12" i="15" s="1"/>
  <c r="J21" i="9"/>
  <c r="F12" i="15" l="1"/>
  <c r="J23" i="9"/>
  <c r="J22" i="9"/>
  <c r="K17" i="9"/>
  <c r="K21" i="9" l="1"/>
  <c r="B13" i="15"/>
  <c r="C13" i="15" s="1"/>
  <c r="G12" i="15"/>
  <c r="H12" i="15"/>
  <c r="F13" i="15" l="1"/>
  <c r="K23" i="9"/>
  <c r="K22" i="9"/>
  <c r="L17" i="9"/>
  <c r="L21" i="9" l="1"/>
  <c r="B14" i="15"/>
  <c r="C14" i="15" s="1"/>
  <c r="H13" i="15"/>
  <c r="G13" i="15"/>
  <c r="L37" i="9" l="1"/>
  <c r="L40" i="9" s="1"/>
  <c r="L23" i="9"/>
  <c r="L22" i="9"/>
  <c r="M22" i="9" s="1"/>
  <c r="F14" i="15"/>
  <c r="H14" i="15" l="1"/>
  <c r="G14" i="15"/>
  <c r="L33" i="9"/>
  <c r="L34" i="9" s="1"/>
  <c r="M23" i="9"/>
  <c r="M24" i="9" s="1"/>
</calcChain>
</file>

<file path=xl/comments1.xml><?xml version="1.0" encoding="utf-8"?>
<comments xmlns="http://schemas.openxmlformats.org/spreadsheetml/2006/main">
  <authors>
    <author>Joshua</author>
  </authors>
  <commentList>
    <comment ref="G41" authorId="0" shapeId="0">
      <text>
        <r>
          <rPr>
            <sz val="9"/>
            <color indexed="81"/>
            <rFont val="Tahoma"/>
            <family val="2"/>
          </rPr>
          <t xml:space="preserve">Gt and Pt are from the transmit antenna data on the TX sheet </t>
        </r>
      </text>
    </comment>
  </commentList>
</comments>
</file>

<file path=xl/comments2.xml><?xml version="1.0" encoding="utf-8"?>
<comments xmlns="http://schemas.openxmlformats.org/spreadsheetml/2006/main">
  <authors>
    <author>Joshua</author>
    <author>studentpro</author>
    <author>J</author>
  </authors>
  <commentList>
    <comment ref="H4" authorId="0" shapeId="0">
      <text>
        <r>
          <rPr>
            <b/>
            <sz val="9"/>
            <color indexed="81"/>
            <rFont val="Tahoma"/>
            <family val="2"/>
          </rPr>
          <t>Joshua:</t>
        </r>
        <r>
          <rPr>
            <sz val="9"/>
            <color indexed="81"/>
            <rFont val="Tahoma"/>
            <family val="2"/>
          </rPr>
          <t xml:space="preserve">
range of attenuation: 6-10dBM (order multiple attenuators)</t>
        </r>
      </text>
    </comment>
    <comment ref="U6" authorId="1" shapeId="0">
      <text>
        <r>
          <rPr>
            <sz val="9"/>
            <color indexed="81"/>
            <rFont val="Tahoma"/>
            <charset val="1"/>
          </rPr>
          <t>output in mW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Joshua:</t>
        </r>
        <r>
          <rPr>
            <sz val="9"/>
            <color indexed="81"/>
            <rFont val="Tahoma"/>
            <family val="2"/>
          </rPr>
          <t xml:space="preserve">
range of attenuation: 6-10dBM (order multiple attenuators)</t>
        </r>
      </text>
    </comment>
    <comment ref="M11" authorId="0" shapeId="0">
      <text>
        <r>
          <rPr>
            <b/>
            <sz val="9"/>
            <color indexed="81"/>
            <rFont val="Tahoma"/>
            <family val="2"/>
          </rPr>
          <t>Joshua:</t>
        </r>
        <r>
          <rPr>
            <sz val="9"/>
            <color indexed="81"/>
            <rFont val="Tahoma"/>
            <family val="2"/>
          </rPr>
          <t xml:space="preserve">
range of attenuation: 6-10dBM (order multiple attenuators)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</rPr>
          <t>Joshua:
comes from S in SNR equation</t>
        </r>
      </text>
    </comment>
    <comment ref="M20" authorId="2" shapeId="0">
      <text>
        <r>
          <rPr>
            <b/>
            <sz val="9"/>
            <color indexed="81"/>
            <rFont val="Tahoma"/>
            <family val="2"/>
          </rPr>
          <t>J:</t>
        </r>
        <r>
          <rPr>
            <sz val="9"/>
            <color indexed="81"/>
            <rFont val="Tahoma"/>
            <family val="2"/>
          </rPr>
          <t xml:space="preserve">
overall gain of rx chain</t>
        </r>
      </text>
    </comment>
    <comment ref="M23" authorId="2" shapeId="0">
      <text>
        <r>
          <rPr>
            <b/>
            <sz val="9"/>
            <color indexed="81"/>
            <rFont val="Tahoma"/>
            <family val="2"/>
          </rPr>
          <t>J:</t>
        </r>
        <r>
          <rPr>
            <sz val="9"/>
            <color indexed="81"/>
            <rFont val="Tahoma"/>
            <family val="2"/>
          </rPr>
          <t xml:space="preserve">
Vrms = Vdc
50 = impedance </t>
        </r>
      </text>
    </comment>
  </commentList>
</comments>
</file>

<file path=xl/sharedStrings.xml><?xml version="1.0" encoding="utf-8"?>
<sst xmlns="http://schemas.openxmlformats.org/spreadsheetml/2006/main" count="363" uniqueCount="193">
  <si>
    <t>watts</t>
  </si>
  <si>
    <t>Gt</t>
  </si>
  <si>
    <t>dB</t>
  </si>
  <si>
    <t>Gr</t>
  </si>
  <si>
    <t>freq</t>
  </si>
  <si>
    <t>lambda</t>
  </si>
  <si>
    <t>Ghz</t>
  </si>
  <si>
    <t>in</t>
  </si>
  <si>
    <t>cm</t>
  </si>
  <si>
    <t>m</t>
  </si>
  <si>
    <t>Rx Signal</t>
  </si>
  <si>
    <t>dBM</t>
  </si>
  <si>
    <t>dBsm</t>
  </si>
  <si>
    <t>Duty</t>
  </si>
  <si>
    <t>%</t>
  </si>
  <si>
    <t>avg EIRP</t>
  </si>
  <si>
    <t>nS</t>
  </si>
  <si>
    <t>MHz</t>
  </si>
  <si>
    <t>over 1 MHz</t>
  </si>
  <si>
    <t>NF</t>
  </si>
  <si>
    <t>Noise</t>
  </si>
  <si>
    <t>Pt peak</t>
  </si>
  <si>
    <t>peak eirp</t>
  </si>
  <si>
    <t>over 50 MHz</t>
  </si>
  <si>
    <t>fcc requires 0 dBM peak max EIRP over 50 MHz</t>
  </si>
  <si>
    <t>fcc requires -41.3 dBM max avg EIRP over 1 MHz</t>
  </si>
  <si>
    <t xml:space="preserve"> </t>
  </si>
  <si>
    <t>circ wg diamater</t>
  </si>
  <si>
    <t>TE11 cutoff</t>
  </si>
  <si>
    <t>circ wg radius</t>
  </si>
  <si>
    <t>GHz</t>
  </si>
  <si>
    <t>4piA/lambda^2  D</t>
  </si>
  <si>
    <t>Horn dia</t>
  </si>
  <si>
    <t>Horn area</t>
  </si>
  <si>
    <t>in^2</t>
  </si>
  <si>
    <t>Gain assume 50 % eff</t>
  </si>
  <si>
    <t>TM01 cutoff</t>
  </si>
  <si>
    <t>trihedral sigma</t>
  </si>
  <si>
    <t>trihedral side dim</t>
  </si>
  <si>
    <t>Range</t>
  </si>
  <si>
    <t>SNR (dB)</t>
  </si>
  <si>
    <t>AtoD</t>
  </si>
  <si>
    <t>bits</t>
  </si>
  <si>
    <t>states</t>
  </si>
  <si>
    <t>v</t>
  </si>
  <si>
    <t>FPGA voltage range</t>
  </si>
  <si>
    <t>Vp-p</t>
  </si>
  <si>
    <t>VRMS_50ohms</t>
  </si>
  <si>
    <t>Total Receive gain</t>
  </si>
  <si>
    <t>NOise</t>
  </si>
  <si>
    <t>Watts</t>
  </si>
  <si>
    <t>#quanta</t>
  </si>
  <si>
    <t>Noise at AtoD input</t>
  </si>
  <si>
    <t>signal Vp-p at AtoD input</t>
  </si>
  <si>
    <t>noise V rms  at AtoD input</t>
  </si>
  <si>
    <t>IF BW limit, AtoD input filter</t>
  </si>
  <si>
    <t>signal pulse width</t>
  </si>
  <si>
    <t>signal BW</t>
  </si>
  <si>
    <t>signal # quanta in AtoD</t>
  </si>
  <si>
    <t>1-quanta resolution</t>
  </si>
  <si>
    <t>Radar Cross Section (flat panal objects)</t>
  </si>
  <si>
    <t>m^2</t>
  </si>
  <si>
    <t>base</t>
  </si>
  <si>
    <t>height</t>
  </si>
  <si>
    <t>VCO</t>
  </si>
  <si>
    <t>BPF</t>
  </si>
  <si>
    <t>Power Amplifier</t>
  </si>
  <si>
    <t>SP4T</t>
  </si>
  <si>
    <t>SP16T Switch</t>
  </si>
  <si>
    <t>NF (dB)</t>
  </si>
  <si>
    <t>boltzman (J/K)</t>
  </si>
  <si>
    <t>Low Noise Amplifier</t>
  </si>
  <si>
    <t>ADC</t>
  </si>
  <si>
    <t>Noise Temp (K)</t>
  </si>
  <si>
    <t>Signal Level (dB)</t>
  </si>
  <si>
    <t>Noise Power (dB)</t>
  </si>
  <si>
    <t>Effective Area</t>
  </si>
  <si>
    <t>Part Name</t>
  </si>
  <si>
    <t>Part Number</t>
  </si>
  <si>
    <t xml:space="preserve">Distributor </t>
  </si>
  <si>
    <t>Hittite</t>
  </si>
  <si>
    <t>Fairview Microwave</t>
  </si>
  <si>
    <t>Antenna Horns</t>
  </si>
  <si>
    <t>MA86551</t>
  </si>
  <si>
    <t>Advanced Receiver</t>
  </si>
  <si>
    <t>SLNA-120-38-22-SMA</t>
  </si>
  <si>
    <t>Frequency Multiplier</t>
  </si>
  <si>
    <t>SPDT Switch</t>
  </si>
  <si>
    <t>HMC-C058</t>
  </si>
  <si>
    <t>SP4T Switch</t>
  </si>
  <si>
    <t>UMC SW-L010-16S</t>
  </si>
  <si>
    <t>Universal Microwave Cmpts</t>
  </si>
  <si>
    <t>Variable Attenuator</t>
  </si>
  <si>
    <t>IQ Demodulator</t>
  </si>
  <si>
    <t>AD60100B</t>
  </si>
  <si>
    <t>Polyphase Microwave</t>
  </si>
  <si>
    <t>X2</t>
  </si>
  <si>
    <t>SP16T</t>
  </si>
  <si>
    <t>Digilent</t>
  </si>
  <si>
    <t xml:space="preserve">410-064P-KIT </t>
  </si>
  <si>
    <t>hmc-c056</t>
  </si>
  <si>
    <t>Marki Microwave</t>
  </si>
  <si>
    <t>FB-1050</t>
  </si>
  <si>
    <t>Isolator</t>
  </si>
  <si>
    <t>cable</t>
  </si>
  <si>
    <t>SPDT</t>
  </si>
  <si>
    <t>Pin (dBM)</t>
  </si>
  <si>
    <t>Gain (dB)</t>
  </si>
  <si>
    <t>Pout (dBM)</t>
  </si>
  <si>
    <t>band pass filter</t>
  </si>
  <si>
    <t>LO(IQ)</t>
  </si>
  <si>
    <t xml:space="preserve">P compression =24dBM  </t>
  </si>
  <si>
    <t>SA4077</t>
  </si>
  <si>
    <t>Var_Atten: SA4077</t>
  </si>
  <si>
    <t>Pt in SNR equation</t>
  </si>
  <si>
    <t>HMC820LP6CE</t>
  </si>
  <si>
    <t>same as TX path</t>
  </si>
  <si>
    <t>same as LO path</t>
  </si>
  <si>
    <t>TX path only</t>
  </si>
  <si>
    <t>LO path only</t>
  </si>
  <si>
    <t>RX path only</t>
  </si>
  <si>
    <t>Minicircuits</t>
  </si>
  <si>
    <t xml:space="preserve"> ZVA-183X-S+</t>
  </si>
  <si>
    <t>Fix_Atten</t>
  </si>
  <si>
    <t>Fixed Attenuator</t>
  </si>
  <si>
    <t>SA18H-07</t>
  </si>
  <si>
    <t>SA18H-08</t>
  </si>
  <si>
    <t>SA18H-09</t>
  </si>
  <si>
    <t>SA18H-10</t>
  </si>
  <si>
    <t>Wideband Amplifier</t>
  </si>
  <si>
    <t>RF (IQ Demodulator)</t>
  </si>
  <si>
    <t xml:space="preserve">P compression =30dBM  </t>
  </si>
  <si>
    <t>SPA-110-30-01-SMA</t>
  </si>
  <si>
    <t>Power Amp:SPA-110-30-01-SMA</t>
  </si>
  <si>
    <t>RF Lambda</t>
  </si>
  <si>
    <t xml:space="preserve">RFLI-501-1 </t>
  </si>
  <si>
    <t>Loss (dB)</t>
  </si>
  <si>
    <t>Pr in SNR equation</t>
  </si>
  <si>
    <t>db</t>
  </si>
  <si>
    <t>cable (from RX antenna)</t>
  </si>
  <si>
    <t>Pout (W)</t>
  </si>
  <si>
    <t>Hz</t>
  </si>
  <si>
    <t>Pin&lt; +12dBM</t>
  </si>
  <si>
    <t>Pout (mW)</t>
  </si>
  <si>
    <t>RFSP4TA0812G</t>
  </si>
  <si>
    <t>System Nosie Figure (dB)</t>
  </si>
  <si>
    <r>
      <t>System Nosie Temp (</t>
    </r>
    <r>
      <rPr>
        <sz val="10"/>
        <rFont val="Times New Roman"/>
        <family val="1"/>
      </rPr>
      <t>°</t>
    </r>
    <r>
      <rPr>
        <sz val="7"/>
        <rFont val="Arial"/>
        <family val="2"/>
      </rPr>
      <t>K</t>
    </r>
    <r>
      <rPr>
        <sz val="10"/>
        <rFont val="Arial"/>
        <family val="2"/>
      </rPr>
      <t>)</t>
    </r>
  </si>
  <si>
    <t>Josh Calculations</t>
  </si>
  <si>
    <t>Vsupply (V)</t>
  </si>
  <si>
    <t>Isupply (mA)</t>
  </si>
  <si>
    <t xml:space="preserve">NF </t>
  </si>
  <si>
    <t>NF (cascade)</t>
  </si>
  <si>
    <t>Gain/Loss (magntude)</t>
  </si>
  <si>
    <t xml:space="preserve">System Nosie Figure </t>
  </si>
  <si>
    <t>Noise Temp cascade (K)</t>
  </si>
  <si>
    <t xml:space="preserve">Components </t>
  </si>
  <si>
    <t>Input Power (dBm)</t>
  </si>
  <si>
    <t>P1db Compression (dBm)</t>
  </si>
  <si>
    <t>Output Power (dBm)</t>
  </si>
  <si>
    <t>Cable</t>
  </si>
  <si>
    <t>Gain(magntude)</t>
  </si>
  <si>
    <t>Input Power (mW)</t>
  </si>
  <si>
    <t>Output  Power (dBm)</t>
  </si>
  <si>
    <t>Output Power (mW)</t>
  </si>
  <si>
    <t>-</t>
  </si>
  <si>
    <t>SA18H-05</t>
  </si>
  <si>
    <t>SA18H-01</t>
  </si>
  <si>
    <t>SA18H-03</t>
  </si>
  <si>
    <t>Schematic</t>
  </si>
  <si>
    <t xml:space="preserve">P compression =10dBM  </t>
  </si>
  <si>
    <t>LNA:SLNA-180-38-25-SMA</t>
  </si>
  <si>
    <t>LNA:SLNA-120-38-22-SMA</t>
  </si>
  <si>
    <t>3 dBM &lt;Pin  &gt; 7dBM</t>
  </si>
  <si>
    <t xml:space="preserve">ratio </t>
  </si>
  <si>
    <t>length (in)</t>
  </si>
  <si>
    <t>loss (dB)</t>
  </si>
  <si>
    <t>Super Ultra Wideband Amplifier</t>
  </si>
  <si>
    <t>Ultra Wide Bandwidth Amplifier</t>
  </si>
  <si>
    <t>24 (Input)</t>
  </si>
  <si>
    <t xml:space="preserve">P compression =17dBM  </t>
  </si>
  <si>
    <t>Output Power (uW)</t>
  </si>
  <si>
    <t>v peak RMS</t>
  </si>
  <si>
    <t>v p-p</t>
  </si>
  <si>
    <t>noise power dBM/1Hz</t>
  </si>
  <si>
    <t>noise power dBM/.5MHz</t>
  </si>
  <si>
    <t>signal</t>
  </si>
  <si>
    <t>Baseband Filter loss dB</t>
  </si>
  <si>
    <t>SNR</t>
  </si>
  <si>
    <t>HMC-C011</t>
  </si>
  <si>
    <t xml:space="preserve">P compression =23dBM  </t>
  </si>
  <si>
    <t>SLNA-180-38-25-SMA</t>
  </si>
  <si>
    <t>ZVA-183-S+</t>
  </si>
  <si>
    <t>Pin (mW)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</si>
</sst>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0"/>
    <numFmt numFmtId="165" formatCode="0.0000"/>
    <numFmt numFmtId="166" formatCode="0.000"/>
    <numFmt numFmtId="167" formatCode="0.0"/>
    <numFmt numFmtId="168" formatCode="0.000E+00"/>
    <numFmt numFmtId="169" formatCode="0.000000000000"/>
  </numFmts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9"/>
      <color indexed="81"/>
      <name val="Tahoma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10"/>
      <name val="Times New Roman"/>
      <family val="1"/>
    </font>
    <font>
      <sz val="7"/>
      <name val="Arial"/>
      <family val="2"/>
    </font>
    <font>
      <sz val="9"/>
      <color indexed="81"/>
      <name val="Tahoma"/>
      <charset val="1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0">
    <xf numFmtId="0" fontId="0" fillId="0" borderId="0" xfId="0"/>
    <xf numFmtId="166" fontId="0" fillId="0" borderId="0" xfId="0" applyNumberFormat="1"/>
    <xf numFmtId="2" fontId="0" fillId="0" borderId="0" xfId="0" applyNumberFormat="1"/>
    <xf numFmtId="167" fontId="0" fillId="0" borderId="0" xfId="0" applyNumberFormat="1"/>
    <xf numFmtId="0" fontId="0" fillId="2" borderId="0" xfId="0" applyFill="1"/>
    <xf numFmtId="0" fontId="0" fillId="0" borderId="0" xfId="0" applyFill="1"/>
    <xf numFmtId="165" fontId="0" fillId="0" borderId="0" xfId="0" applyNumberFormat="1" applyFill="1"/>
    <xf numFmtId="2" fontId="0" fillId="0" borderId="0" xfId="0" applyNumberFormat="1" applyFill="1"/>
    <xf numFmtId="2" fontId="0" fillId="2" borderId="0" xfId="0" applyNumberFormat="1" applyFill="1"/>
    <xf numFmtId="166" fontId="0" fillId="3" borderId="0" xfId="0" applyNumberFormat="1" applyFill="1"/>
    <xf numFmtId="0" fontId="0" fillId="3" borderId="0" xfId="0" applyFill="1"/>
    <xf numFmtId="164" fontId="0" fillId="0" borderId="0" xfId="0" applyNumberFormat="1"/>
    <xf numFmtId="0" fontId="2" fillId="0" borderId="0" xfId="0" applyFont="1"/>
    <xf numFmtId="164" fontId="0" fillId="4" borderId="0" xfId="0" applyNumberFormat="1" applyFill="1"/>
    <xf numFmtId="1" fontId="0" fillId="4" borderId="0" xfId="0" applyNumberFormat="1" applyFill="1"/>
    <xf numFmtId="0" fontId="0" fillId="4" borderId="0" xfId="0" applyFill="1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165" fontId="0" fillId="0" borderId="0" xfId="0" applyNumberFormat="1"/>
    <xf numFmtId="0" fontId="0" fillId="6" borderId="0" xfId="0" applyFill="1"/>
    <xf numFmtId="0" fontId="0" fillId="7" borderId="0" xfId="0" applyFill="1"/>
    <xf numFmtId="0" fontId="3" fillId="0" borderId="0" xfId="1" applyAlignment="1" applyProtection="1"/>
    <xf numFmtId="0" fontId="0" fillId="8" borderId="0" xfId="0" applyFill="1"/>
    <xf numFmtId="0" fontId="0" fillId="6" borderId="0" xfId="0" applyFill="1" applyAlignment="1">
      <alignment wrapText="1"/>
    </xf>
    <xf numFmtId="0" fontId="0" fillId="5" borderId="0" xfId="0" applyFill="1" applyAlignment="1">
      <alignment wrapText="1"/>
    </xf>
    <xf numFmtId="0" fontId="0" fillId="0" borderId="0" xfId="0" applyFill="1" applyAlignment="1">
      <alignment wrapText="1"/>
    </xf>
    <xf numFmtId="0" fontId="0" fillId="4" borderId="0" xfId="0" applyFill="1" applyAlignment="1">
      <alignment wrapText="1"/>
    </xf>
    <xf numFmtId="0" fontId="2" fillId="9" borderId="0" xfId="0" applyFont="1" applyFill="1" applyAlignment="1">
      <alignment wrapText="1"/>
    </xf>
    <xf numFmtId="0" fontId="2" fillId="2" borderId="0" xfId="0" applyFont="1" applyFill="1"/>
    <xf numFmtId="0" fontId="2" fillId="0" borderId="1" xfId="0" applyFont="1" applyBorder="1" applyAlignment="1">
      <alignment wrapText="1"/>
    </xf>
    <xf numFmtId="0" fontId="2" fillId="10" borderId="0" xfId="0" applyFont="1" applyFill="1" applyAlignment="1">
      <alignment wrapText="1"/>
    </xf>
    <xf numFmtId="0" fontId="0" fillId="10" borderId="0" xfId="0" applyFill="1" applyAlignment="1">
      <alignment wrapText="1"/>
    </xf>
    <xf numFmtId="0" fontId="2" fillId="11" borderId="0" xfId="0" applyFont="1" applyFill="1" applyAlignment="1">
      <alignment wrapText="1"/>
    </xf>
    <xf numFmtId="0" fontId="0" fillId="12" borderId="0" xfId="0" applyFill="1" applyAlignment="1">
      <alignment wrapText="1"/>
    </xf>
    <xf numFmtId="0" fontId="0" fillId="13" borderId="0" xfId="0" applyFill="1"/>
    <xf numFmtId="0" fontId="2" fillId="6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2" fillId="0" borderId="0" xfId="0" applyFont="1" applyFill="1"/>
    <xf numFmtId="0" fontId="2" fillId="12" borderId="0" xfId="0" applyFont="1" applyFill="1" applyAlignment="1">
      <alignment wrapText="1"/>
    </xf>
    <xf numFmtId="0" fontId="2" fillId="13" borderId="0" xfId="0" applyFont="1" applyFill="1" applyAlignment="1">
      <alignment wrapText="1"/>
    </xf>
    <xf numFmtId="0" fontId="7" fillId="0" borderId="0" xfId="0" applyFont="1" applyFill="1" applyAlignment="1"/>
    <xf numFmtId="0" fontId="0" fillId="12" borderId="0" xfId="0" applyFont="1" applyFill="1" applyAlignment="1">
      <alignment wrapText="1"/>
    </xf>
    <xf numFmtId="0" fontId="2" fillId="4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7" fillId="0" borderId="0" xfId="0" applyFont="1" applyFill="1" applyAlignment="1">
      <alignment vertical="center"/>
    </xf>
    <xf numFmtId="0" fontId="2" fillId="14" borderId="0" xfId="0" applyFont="1" applyFill="1"/>
    <xf numFmtId="0" fontId="0" fillId="14" borderId="0" xfId="0" applyFill="1" applyAlignment="1">
      <alignment wrapText="1"/>
    </xf>
    <xf numFmtId="0" fontId="2" fillId="4" borderId="0" xfId="0" applyFont="1" applyFill="1"/>
    <xf numFmtId="0" fontId="2" fillId="5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0" fontId="3" fillId="0" borderId="1" xfId="1" applyBorder="1" applyAlignment="1" applyProtection="1">
      <alignment wrapText="1"/>
    </xf>
    <xf numFmtId="0" fontId="5" fillId="0" borderId="1" xfId="1" applyFont="1" applyBorder="1" applyAlignment="1" applyProtection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0" fillId="0" borderId="0" xfId="0" applyFill="1" applyBorder="1" applyAlignment="1">
      <alignment wrapText="1"/>
    </xf>
    <xf numFmtId="166" fontId="2" fillId="0" borderId="0" xfId="0" applyNumberFormat="1" applyFont="1" applyFill="1"/>
    <xf numFmtId="166" fontId="2" fillId="0" borderId="0" xfId="0" applyNumberFormat="1" applyFont="1"/>
    <xf numFmtId="166" fontId="2" fillId="5" borderId="0" xfId="0" applyNumberFormat="1" applyFont="1" applyFill="1"/>
    <xf numFmtId="166" fontId="0" fillId="0" borderId="0" xfId="0" applyNumberFormat="1" applyFill="1"/>
    <xf numFmtId="0" fontId="7" fillId="0" borderId="0" xfId="0" quotePrefix="1" applyFont="1" applyFill="1" applyAlignment="1"/>
    <xf numFmtId="2" fontId="0" fillId="7" borderId="0" xfId="0" applyNumberFormat="1" applyFill="1"/>
    <xf numFmtId="0" fontId="2" fillId="0" borderId="0" xfId="0" applyFont="1" applyBorder="1" applyAlignment="1">
      <alignment wrapText="1"/>
    </xf>
    <xf numFmtId="0" fontId="0" fillId="0" borderId="0" xfId="0" applyAlignment="1"/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/>
    </xf>
    <xf numFmtId="166" fontId="0" fillId="0" borderId="0" xfId="0" applyNumberFormat="1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6" fontId="2" fillId="0" borderId="0" xfId="0" applyNumberFormat="1" applyFont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166" fontId="0" fillId="6" borderId="0" xfId="0" applyNumberFormat="1" applyFill="1"/>
    <xf numFmtId="166" fontId="0" fillId="5" borderId="0" xfId="0" applyNumberFormat="1" applyFill="1"/>
    <xf numFmtId="166" fontId="0" fillId="9" borderId="0" xfId="0" applyNumberFormat="1" applyFill="1"/>
    <xf numFmtId="2" fontId="0" fillId="0" borderId="0" xfId="0" applyNumberFormat="1" applyFill="1" applyAlignment="1">
      <alignment horizontal="center" vertical="center"/>
    </xf>
    <xf numFmtId="166" fontId="0" fillId="4" borderId="0" xfId="0" applyNumberFormat="1" applyFill="1" applyAlignment="1">
      <alignment wrapText="1"/>
    </xf>
    <xf numFmtId="166" fontId="0" fillId="0" borderId="0" xfId="0" applyNumberFormat="1" applyAlignment="1">
      <alignment wrapText="1"/>
    </xf>
    <xf numFmtId="166" fontId="0" fillId="4" borderId="0" xfId="0" applyNumberFormat="1" applyFill="1" applyAlignment="1">
      <alignment horizontal="center" vertical="center"/>
    </xf>
    <xf numFmtId="1" fontId="0" fillId="0" borderId="0" xfId="0" applyNumberFormat="1"/>
    <xf numFmtId="166" fontId="0" fillId="0" borderId="0" xfId="0" applyNumberFormat="1" applyAlignment="1">
      <alignment horizontal="center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Alignment="1">
      <alignment horizontal="center" wrapText="1"/>
    </xf>
    <xf numFmtId="2" fontId="0" fillId="4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Border="1"/>
    <xf numFmtId="0" fontId="0" fillId="0" borderId="0" xfId="0" applyBorder="1"/>
    <xf numFmtId="0" fontId="0" fillId="0" borderId="6" xfId="0" applyFill="1" applyBorder="1"/>
    <xf numFmtId="169" fontId="0" fillId="0" borderId="5" xfId="0" applyNumberFormat="1" applyFill="1" applyBorder="1"/>
    <xf numFmtId="0" fontId="0" fillId="0" borderId="0" xfId="0" applyFill="1" applyBorder="1"/>
    <xf numFmtId="0" fontId="0" fillId="0" borderId="5" xfId="0" applyFill="1" applyBorder="1"/>
    <xf numFmtId="166" fontId="0" fillId="0" borderId="5" xfId="0" applyNumberFormat="1" applyFill="1" applyBorder="1"/>
    <xf numFmtId="0" fontId="1" fillId="0" borderId="5" xfId="0" applyFont="1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166" fontId="0" fillId="0" borderId="7" xfId="0" applyNumberFormat="1" applyFill="1" applyBorder="1"/>
    <xf numFmtId="0" fontId="0" fillId="0" borderId="8" xfId="0" applyFill="1" applyBorder="1"/>
    <xf numFmtId="0" fontId="0" fillId="0" borderId="9" xfId="0" applyFill="1" applyBorder="1"/>
    <xf numFmtId="166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7" fillId="13" borderId="0" xfId="0" applyFont="1" applyFill="1" applyAlignment="1">
      <alignment horizontal="center"/>
    </xf>
    <xf numFmtId="0" fontId="7" fillId="12" borderId="0" xfId="0" quotePrefix="1" applyFont="1" applyFill="1" applyAlignment="1">
      <alignment horizontal="center"/>
    </xf>
    <xf numFmtId="0" fontId="7" fillId="11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315232</xdr:colOff>
      <xdr:row>34</xdr:row>
      <xdr:rowOff>132315</xdr:rowOff>
    </xdr:from>
    <xdr:to>
      <xdr:col>14</xdr:col>
      <xdr:colOff>318861</xdr:colOff>
      <xdr:row>38</xdr:row>
      <xdr:rowOff>100980</xdr:rowOff>
    </xdr:to>
    <xdr:grpSp>
      <xdr:nvGrpSpPr>
        <xdr:cNvPr id="4" name="Group 3"/>
        <xdr:cNvGrpSpPr/>
      </xdr:nvGrpSpPr>
      <xdr:grpSpPr>
        <a:xfrm>
          <a:off x="6944632" y="6161640"/>
          <a:ext cx="4547054" cy="616365"/>
          <a:chOff x="7309303" y="6142136"/>
          <a:chExt cx="4534808" cy="621808"/>
        </a:xfrm>
      </xdr:grpSpPr>
      <xdr:pic>
        <xdr:nvPicPr>
          <xdr:cNvPr id="2049" name="Picture 1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 l="1037" b="7215"/>
          <a:stretch>
            <a:fillRect/>
          </a:stretch>
        </xdr:blipFill>
        <xdr:spPr bwMode="auto">
          <a:xfrm>
            <a:off x="7312932" y="6142136"/>
            <a:ext cx="4531179" cy="617893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  <xdr:pic>
        <xdr:nvPicPr>
          <xdr:cNvPr id="2050" name="Picture 2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 flipV="1">
            <a:off x="7309303" y="6694712"/>
            <a:ext cx="1177925" cy="69232"/>
          </a:xfrm>
          <a:prstGeom prst="rect">
            <a:avLst/>
          </a:prstGeom>
          <a:noFill/>
          <a:ln w="1">
            <a:noFill/>
            <a:miter lim="800000"/>
            <a:headEnd/>
            <a:tailEnd type="none" w="med" len="med"/>
          </a:ln>
          <a:effectLst/>
        </xdr:spPr>
      </xdr:pic>
    </xdr:grpSp>
    <xdr:clientData/>
  </xdr:twoCellAnchor>
  <xdr:twoCellAnchor editAs="oneCell">
    <xdr:from>
      <xdr:col>7</xdr:col>
      <xdr:colOff>814917</xdr:colOff>
      <xdr:row>39</xdr:row>
      <xdr:rowOff>42333</xdr:rowOff>
    </xdr:from>
    <xdr:to>
      <xdr:col>12</xdr:col>
      <xdr:colOff>21167</xdr:colOff>
      <xdr:row>40</xdr:row>
      <xdr:rowOff>138162</xdr:rowOff>
    </xdr:to>
    <xdr:pic>
      <xdr:nvPicPr>
        <xdr:cNvPr id="205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41167" y="6614583"/>
          <a:ext cx="2550583" cy="25457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214314</xdr:colOff>
      <xdr:row>20</xdr:row>
      <xdr:rowOff>47625</xdr:rowOff>
    </xdr:from>
    <xdr:to>
      <xdr:col>7</xdr:col>
      <xdr:colOff>214314</xdr:colOff>
      <xdr:row>24</xdr:row>
      <xdr:rowOff>4763</xdr:rowOff>
    </xdr:to>
    <xdr:pic>
      <xdr:nvPicPr>
        <xdr:cNvPr id="205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072064" y="3571875"/>
          <a:ext cx="1774031" cy="62388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414262</xdr:colOff>
      <xdr:row>26</xdr:row>
      <xdr:rowOff>140057</xdr:rowOff>
    </xdr:from>
    <xdr:to>
      <xdr:col>22</xdr:col>
      <xdr:colOff>126309</xdr:colOff>
      <xdr:row>28</xdr:row>
      <xdr:rowOff>282726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6048" y="6793950"/>
          <a:ext cx="4310743" cy="795812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449034</xdr:colOff>
      <xdr:row>20</xdr:row>
      <xdr:rowOff>55159</xdr:rowOff>
    </xdr:from>
    <xdr:to>
      <xdr:col>22</xdr:col>
      <xdr:colOff>373643</xdr:colOff>
      <xdr:row>26</xdr:row>
      <xdr:rowOff>45960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470820" y="5729338"/>
          <a:ext cx="4525888" cy="97051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388174</xdr:colOff>
      <xdr:row>33</xdr:row>
      <xdr:rowOff>120949</xdr:rowOff>
    </xdr:from>
    <xdr:to>
      <xdr:col>24</xdr:col>
      <xdr:colOff>558196</xdr:colOff>
      <xdr:row>34</xdr:row>
      <xdr:rowOff>3740</xdr:rowOff>
    </xdr:to>
    <xdr:pic>
      <xdr:nvPicPr>
        <xdr:cNvPr id="5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240245" y="7795378"/>
          <a:ext cx="2006987" cy="32808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21</xdr:col>
      <xdr:colOff>394606</xdr:colOff>
      <xdr:row>28</xdr:row>
      <xdr:rowOff>335641</xdr:rowOff>
    </xdr:from>
    <xdr:to>
      <xdr:col>28</xdr:col>
      <xdr:colOff>287264</xdr:colOff>
      <xdr:row>32</xdr:row>
      <xdr:rowOff>55350</xdr:rowOff>
    </xdr:to>
    <xdr:pic>
      <xdr:nvPicPr>
        <xdr:cNvPr id="6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3022035" y="6676570"/>
          <a:ext cx="4178907" cy="9035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712691</xdr:colOff>
      <xdr:row>9</xdr:row>
      <xdr:rowOff>136071</xdr:rowOff>
    </xdr:from>
    <xdr:to>
      <xdr:col>24</xdr:col>
      <xdr:colOff>105971</xdr:colOff>
      <xdr:row>14</xdr:row>
      <xdr:rowOff>87541</xdr:rowOff>
    </xdr:to>
    <xdr:pic>
      <xdr:nvPicPr>
        <xdr:cNvPr id="7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1190191" y="2898321"/>
          <a:ext cx="4372298" cy="140743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217714</xdr:colOff>
      <xdr:row>3</xdr:row>
      <xdr:rowOff>27215</xdr:rowOff>
    </xdr:from>
    <xdr:to>
      <xdr:col>18</xdr:col>
      <xdr:colOff>5442</xdr:colOff>
      <xdr:row>33</xdr:row>
      <xdr:rowOff>100693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54678" y="517072"/>
          <a:ext cx="8972550" cy="4972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281762</xdr:colOff>
      <xdr:row>0</xdr:row>
      <xdr:rowOff>85725</xdr:rowOff>
    </xdr:from>
    <xdr:to>
      <xdr:col>22</xdr:col>
      <xdr:colOff>511586</xdr:colOff>
      <xdr:row>17</xdr:row>
      <xdr:rowOff>159844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6239" y="85725"/>
          <a:ext cx="8758021" cy="41831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18</xdr:row>
      <xdr:rowOff>0</xdr:rowOff>
    </xdr:from>
    <xdr:to>
      <xdr:col>30</xdr:col>
      <xdr:colOff>397933</xdr:colOff>
      <xdr:row>48</xdr:row>
      <xdr:rowOff>123825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20917" y="3873500"/>
          <a:ext cx="8991600" cy="4886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3</xdr:row>
      <xdr:rowOff>381000</xdr:rowOff>
    </xdr:from>
    <xdr:to>
      <xdr:col>16</xdr:col>
      <xdr:colOff>352425</xdr:colOff>
      <xdr:row>31</xdr:row>
      <xdr:rowOff>66675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53100" y="1352550"/>
          <a:ext cx="5381625" cy="5019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olyphasemicrowave.com/datasheets/AD60100B.pdf" TargetMode="External"/><Relationship Id="rId13" Type="http://schemas.openxmlformats.org/officeDocument/2006/relationships/hyperlink" Target="http://www.fairviewmicrowave.com/images/productPDF/SA6H-10.pdf" TargetMode="External"/><Relationship Id="rId18" Type="http://schemas.openxmlformats.org/officeDocument/2006/relationships/hyperlink" Target="https://www.hittite.com/content/documents/data_sheet/hmc-c011.pdf" TargetMode="External"/><Relationship Id="rId3" Type="http://schemas.openxmlformats.org/officeDocument/2006/relationships/hyperlink" Target="http://www.advancedreceiver.com/page34.html" TargetMode="External"/><Relationship Id="rId7" Type="http://schemas.openxmlformats.org/officeDocument/2006/relationships/hyperlink" Target="http://www.umcc111.com/SP16T.htm" TargetMode="External"/><Relationship Id="rId12" Type="http://schemas.openxmlformats.org/officeDocument/2006/relationships/hyperlink" Target="http://www.fairviewmicrowave.com/40db-continuous-attenuator-sma-female-sma-female-5-watts-sa4077-p.aspx" TargetMode="External"/><Relationship Id="rId17" Type="http://schemas.openxmlformats.org/officeDocument/2006/relationships/hyperlink" Target="http://www.fairviewmicrowave.com/6-18-ghz-low-noise-broadband-amplifier-slna-180-38-25-sma-p.aspx" TargetMode="External"/><Relationship Id="rId2" Type="http://schemas.openxmlformats.org/officeDocument/2006/relationships/hyperlink" Target="http://www.fairviewmicrowave.com/images/productPDF/SPA-110-30-01-SMA.pdf" TargetMode="External"/><Relationship Id="rId16" Type="http://schemas.openxmlformats.org/officeDocument/2006/relationships/hyperlink" Target="http://www.fairviewmicrowave.com/images/productPDF/SA18H-08.pdf" TargetMode="External"/><Relationship Id="rId1" Type="http://schemas.openxmlformats.org/officeDocument/2006/relationships/hyperlink" Target="https://www.hittite.com/content/documents/data_sheet/hmc820lp6c.pdf" TargetMode="External"/><Relationship Id="rId6" Type="http://schemas.openxmlformats.org/officeDocument/2006/relationships/hyperlink" Target="http://www.rflambda.com/pdf/switchers/RFSP4TA0812G.pdf" TargetMode="External"/><Relationship Id="rId11" Type="http://schemas.openxmlformats.org/officeDocument/2006/relationships/hyperlink" Target="http://www.minicircuits.com/MCLStore/ModelInfoDisplay?14153867329510.8491152636149291" TargetMode="External"/><Relationship Id="rId5" Type="http://schemas.openxmlformats.org/officeDocument/2006/relationships/hyperlink" Target="https://www.hittite.com/content/documents/data_sheet/hmc-c056.pdf" TargetMode="External"/><Relationship Id="rId15" Type="http://schemas.openxmlformats.org/officeDocument/2006/relationships/hyperlink" Target="http://www.fairviewmicrowave.com/images/productPDF/SA18H-08.pdf" TargetMode="External"/><Relationship Id="rId10" Type="http://schemas.openxmlformats.org/officeDocument/2006/relationships/hyperlink" Target="http://www.markimicrowave.com/Assets/datasheets/FB-1050.pdf" TargetMode="External"/><Relationship Id="rId19" Type="http://schemas.openxmlformats.org/officeDocument/2006/relationships/printerSettings" Target="../printerSettings/printerSettings4.bin"/><Relationship Id="rId4" Type="http://schemas.openxmlformats.org/officeDocument/2006/relationships/hyperlink" Target="http://www.fairviewmicrowave.com/2.2db-nf-low-noise-amplifier-38db-slna-120-38-22-sma-p.aspx" TargetMode="External"/><Relationship Id="rId9" Type="http://schemas.openxmlformats.org/officeDocument/2006/relationships/hyperlink" Target="http://www.digilentinc.com/Products/Detail.cfm?Prod=PMOD-AD1" TargetMode="External"/><Relationship Id="rId14" Type="http://schemas.openxmlformats.org/officeDocument/2006/relationships/hyperlink" Target="http://www.fairviewmicrowave.com/images/productPDF/SA18H-08.pdf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fairviewmicrowave.com/images/productPDF/SCA49141-XX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K62"/>
  <sheetViews>
    <sheetView tabSelected="1" workbookViewId="0">
      <selection activeCell="D61" sqref="D61"/>
    </sheetView>
  </sheetViews>
  <sheetFormatPr defaultRowHeight="12.75" x14ac:dyDescent="0.2"/>
  <cols>
    <col min="2" max="2" width="20.7109375" customWidth="1"/>
    <col min="3" max="3" width="13.7109375" customWidth="1"/>
    <col min="4" max="4" width="13.7109375" bestFit="1" customWidth="1"/>
    <col min="5" max="5" width="15.5703125" customWidth="1"/>
    <col min="6" max="6" width="17.42578125" customWidth="1"/>
    <col min="8" max="8" width="13.28515625" bestFit="1" customWidth="1"/>
  </cols>
  <sheetData>
    <row r="2" spans="2:11" x14ac:dyDescent="0.2">
      <c r="B2" t="s">
        <v>13</v>
      </c>
      <c r="C2" t="s">
        <v>14</v>
      </c>
      <c r="D2" s="4">
        <v>30</v>
      </c>
    </row>
    <row r="3" spans="2:11" ht="15.75" customHeight="1" x14ac:dyDescent="0.2">
      <c r="B3" t="s">
        <v>21</v>
      </c>
      <c r="C3" t="s">
        <v>0</v>
      </c>
      <c r="D3">
        <f>10^((D4)/10)/1000</f>
        <v>7.8598935939578604E-2</v>
      </c>
      <c r="F3" t="s">
        <v>15</v>
      </c>
      <c r="G3" t="s">
        <v>0</v>
      </c>
      <c r="H3">
        <f>D3*D6*D2/100</f>
        <v>1.1817834980881379</v>
      </c>
    </row>
    <row r="4" spans="2:11" x14ac:dyDescent="0.2">
      <c r="C4" t="s">
        <v>11</v>
      </c>
      <c r="D4" s="28">
        <f>'Signal Chains'!T6</f>
        <v>18.954166666666669</v>
      </c>
      <c r="G4" t="s">
        <v>11</v>
      </c>
      <c r="H4">
        <f>10*LOG(H3*1000)</f>
        <v>30.725379213863295</v>
      </c>
      <c r="I4" t="s">
        <v>23</v>
      </c>
    </row>
    <row r="5" spans="2:11" x14ac:dyDescent="0.2">
      <c r="B5" t="s">
        <v>1</v>
      </c>
      <c r="C5" t="s">
        <v>2</v>
      </c>
      <c r="D5" s="4">
        <v>17</v>
      </c>
      <c r="H5" s="10">
        <f>H4+10*LOG(1/H12)</f>
        <v>13.735679170503108</v>
      </c>
      <c r="I5" t="s">
        <v>18</v>
      </c>
      <c r="K5" t="s">
        <v>25</v>
      </c>
    </row>
    <row r="6" spans="2:11" x14ac:dyDescent="0.2">
      <c r="D6">
        <f>10^(D5/10)</f>
        <v>50.118723362727238</v>
      </c>
    </row>
    <row r="7" spans="2:11" x14ac:dyDescent="0.2">
      <c r="B7" t="s">
        <v>39</v>
      </c>
      <c r="C7" t="s">
        <v>9</v>
      </c>
      <c r="D7" s="4">
        <v>6</v>
      </c>
      <c r="F7" t="s">
        <v>22</v>
      </c>
      <c r="G7" t="s">
        <v>11</v>
      </c>
      <c r="H7" s="3">
        <f>D4+D5+10*LOG(50/H12)</f>
        <v>35.954166666666666</v>
      </c>
      <c r="I7" t="s">
        <v>23</v>
      </c>
      <c r="K7" t="s">
        <v>24</v>
      </c>
    </row>
    <row r="9" spans="2:11" x14ac:dyDescent="0.2">
      <c r="B9" t="s">
        <v>3</v>
      </c>
      <c r="C9" t="s">
        <v>2</v>
      </c>
      <c r="D9" s="8">
        <f>D57</f>
        <v>17.538446518447437</v>
      </c>
    </row>
    <row r="10" spans="2:11" x14ac:dyDescent="0.2">
      <c r="D10">
        <f>10^(D9/10)</f>
        <v>56.734162967605165</v>
      </c>
      <c r="F10" s="12" t="s">
        <v>56</v>
      </c>
      <c r="G10" t="s">
        <v>16</v>
      </c>
      <c r="H10" s="4">
        <v>20</v>
      </c>
    </row>
    <row r="11" spans="2:11" x14ac:dyDescent="0.2">
      <c r="H11" s="5"/>
    </row>
    <row r="12" spans="2:11" x14ac:dyDescent="0.2">
      <c r="B12" t="s">
        <v>4</v>
      </c>
      <c r="C12" t="s">
        <v>6</v>
      </c>
      <c r="D12" s="4">
        <v>10</v>
      </c>
      <c r="F12" s="12" t="s">
        <v>57</v>
      </c>
      <c r="G12" t="s">
        <v>17</v>
      </c>
      <c r="H12">
        <f>1000*1/H10</f>
        <v>50</v>
      </c>
    </row>
    <row r="13" spans="2:11" x14ac:dyDescent="0.2">
      <c r="B13" t="s">
        <v>5</v>
      </c>
      <c r="C13" t="s">
        <v>7</v>
      </c>
      <c r="D13" s="7">
        <f>30/D12/2.54</f>
        <v>1.1811023622047243</v>
      </c>
      <c r="G13" s="12" t="s">
        <v>141</v>
      </c>
      <c r="H13">
        <f>H12*10^6</f>
        <v>50000000</v>
      </c>
    </row>
    <row r="14" spans="2:11" ht="25.5" x14ac:dyDescent="0.2">
      <c r="B14" t="s">
        <v>5</v>
      </c>
      <c r="C14" t="s">
        <v>8</v>
      </c>
      <c r="D14">
        <f>30/D12</f>
        <v>3</v>
      </c>
      <c r="F14" s="16" t="s">
        <v>55</v>
      </c>
      <c r="G14" s="12" t="s">
        <v>17</v>
      </c>
      <c r="H14" s="15">
        <v>0.5</v>
      </c>
    </row>
    <row r="15" spans="2:11" x14ac:dyDescent="0.2">
      <c r="B15" t="s">
        <v>5</v>
      </c>
      <c r="C15" t="s">
        <v>9</v>
      </c>
      <c r="D15">
        <f>D14/100</f>
        <v>0.03</v>
      </c>
    </row>
    <row r="16" spans="2:11" x14ac:dyDescent="0.2">
      <c r="B16" t="s">
        <v>5</v>
      </c>
      <c r="C16" t="s">
        <v>2</v>
      </c>
    </row>
    <row r="18" spans="2:7" x14ac:dyDescent="0.2">
      <c r="B18" t="s">
        <v>38</v>
      </c>
      <c r="C18" t="s">
        <v>7</v>
      </c>
      <c r="D18" s="4">
        <v>2</v>
      </c>
    </row>
    <row r="19" spans="2:7" x14ac:dyDescent="0.2">
      <c r="C19" t="s">
        <v>9</v>
      </c>
      <c r="D19">
        <f>D18*2.54/100</f>
        <v>5.0799999999999998E-2</v>
      </c>
    </row>
    <row r="20" spans="2:7" x14ac:dyDescent="0.2">
      <c r="B20" t="s">
        <v>37</v>
      </c>
      <c r="C20" t="s">
        <v>12</v>
      </c>
      <c r="D20" s="6">
        <f>10*LOG((12*PI()*D19^4)/D15^2)</f>
        <v>-5.5445654156188917</v>
      </c>
    </row>
    <row r="22" spans="2:7" x14ac:dyDescent="0.2">
      <c r="E22" s="47" t="s">
        <v>147</v>
      </c>
    </row>
    <row r="23" spans="2:7" x14ac:dyDescent="0.2">
      <c r="B23" t="s">
        <v>10</v>
      </c>
      <c r="C23" t="s">
        <v>0</v>
      </c>
      <c r="D23">
        <f>(10^(D20/10))*(D2/100)*(D3*D6*D10*D15^2)/(((4*PI())^3)*D7^4)</f>
        <v>6.5453661705099649E-9</v>
      </c>
      <c r="E23">
        <f>(D3*D6*D10*D2/100*10^(D20/10)*D15^2)/((4*PI())^3*D7^4)</f>
        <v>6.5453661705099649E-9</v>
      </c>
      <c r="F23" t="s">
        <v>26</v>
      </c>
    </row>
    <row r="24" spans="2:7" x14ac:dyDescent="0.2">
      <c r="C24" t="s">
        <v>11</v>
      </c>
      <c r="D24" s="1">
        <f>10*LOG(D23)+30</f>
        <v>-51.84066052492355</v>
      </c>
      <c r="E24">
        <f>10*LOG(E23,10)+30</f>
        <v>-51.840660524923535</v>
      </c>
    </row>
    <row r="25" spans="2:7" x14ac:dyDescent="0.2">
      <c r="C25" t="s">
        <v>47</v>
      </c>
      <c r="D25" s="1">
        <f>(D23*50)^0.5</f>
        <v>5.7207369151665956E-4</v>
      </c>
    </row>
    <row r="26" spans="2:7" x14ac:dyDescent="0.2">
      <c r="C26" t="s">
        <v>46</v>
      </c>
      <c r="D26" s="11">
        <f>D25*1.414*2</f>
        <v>1.6178243996091131E-3</v>
      </c>
    </row>
    <row r="27" spans="2:7" x14ac:dyDescent="0.2">
      <c r="B27" t="s">
        <v>41</v>
      </c>
      <c r="C27" t="s">
        <v>42</v>
      </c>
      <c r="D27" s="14">
        <v>12</v>
      </c>
    </row>
    <row r="28" spans="2:7" x14ac:dyDescent="0.2">
      <c r="C28" t="s">
        <v>43</v>
      </c>
      <c r="D28" s="11">
        <f>2^D27</f>
        <v>4096</v>
      </c>
    </row>
    <row r="29" spans="2:7" x14ac:dyDescent="0.2">
      <c r="B29" t="s">
        <v>45</v>
      </c>
      <c r="C29" t="s">
        <v>44</v>
      </c>
      <c r="D29" s="13">
        <v>3.3</v>
      </c>
    </row>
    <row r="30" spans="2:7" x14ac:dyDescent="0.2">
      <c r="B30" s="16" t="s">
        <v>59</v>
      </c>
      <c r="C30" s="12" t="s">
        <v>44</v>
      </c>
      <c r="D30" s="11">
        <f>D29/D28</f>
        <v>8.0566406249999996E-4</v>
      </c>
    </row>
    <row r="31" spans="2:7" ht="25.5" x14ac:dyDescent="0.2">
      <c r="B31" s="12" t="s">
        <v>48</v>
      </c>
      <c r="C31" s="12" t="s">
        <v>2</v>
      </c>
      <c r="D31" s="14">
        <v>70</v>
      </c>
      <c r="F31" s="16" t="s">
        <v>54</v>
      </c>
      <c r="G31">
        <f>(D38*50)^0.5</f>
        <v>1.4091914656322252E-3</v>
      </c>
    </row>
    <row r="32" spans="2:7" ht="25.5" x14ac:dyDescent="0.2">
      <c r="B32" s="16" t="s">
        <v>53</v>
      </c>
      <c r="C32" s="12" t="s">
        <v>44</v>
      </c>
      <c r="D32" s="11">
        <f>D26*10^(D31/20)</f>
        <v>5.1160099569592212</v>
      </c>
      <c r="F32" s="12" t="s">
        <v>51</v>
      </c>
      <c r="G32">
        <f>G31/D30</f>
        <v>1.7491055282513923</v>
      </c>
    </row>
    <row r="33" spans="2:7" x14ac:dyDescent="0.2">
      <c r="B33" s="12" t="s">
        <v>58</v>
      </c>
      <c r="D33">
        <f>D32/D30</f>
        <v>6350.0535708196885</v>
      </c>
      <c r="F33" s="12"/>
    </row>
    <row r="35" spans="2:7" x14ac:dyDescent="0.2">
      <c r="B35" t="s">
        <v>19</v>
      </c>
      <c r="C35" t="s">
        <v>2</v>
      </c>
      <c r="D35" s="4">
        <v>3</v>
      </c>
      <c r="F35" s="12" t="s">
        <v>70</v>
      </c>
      <c r="G35">
        <f>1.38*10^-23</f>
        <v>1.3800000000000001E-23</v>
      </c>
    </row>
    <row r="36" spans="2:7" x14ac:dyDescent="0.2">
      <c r="B36" t="s">
        <v>20</v>
      </c>
      <c r="C36" t="s">
        <v>11</v>
      </c>
      <c r="D36">
        <f>-174+D35+10*LOG(H14*1000000)</f>
        <v>-114.01029995663981</v>
      </c>
    </row>
    <row r="37" spans="2:7" x14ac:dyDescent="0.2">
      <c r="B37" s="12" t="s">
        <v>49</v>
      </c>
      <c r="C37" s="12" t="s">
        <v>50</v>
      </c>
      <c r="D37">
        <f>(10^(D36/10))/1000</f>
        <v>3.9716411736213975E-15</v>
      </c>
    </row>
    <row r="38" spans="2:7" x14ac:dyDescent="0.2">
      <c r="B38" s="12" t="s">
        <v>52</v>
      </c>
      <c r="C38" s="12" t="s">
        <v>50</v>
      </c>
      <c r="D38">
        <f>D37*10^(D31/10)</f>
        <v>3.9716411736213977E-8</v>
      </c>
    </row>
    <row r="39" spans="2:7" x14ac:dyDescent="0.2">
      <c r="C39" t="s">
        <v>40</v>
      </c>
      <c r="D39" s="9">
        <f>D24-D36</f>
        <v>62.169639431716263</v>
      </c>
    </row>
    <row r="41" spans="2:7" x14ac:dyDescent="0.2">
      <c r="B41" t="s">
        <v>27</v>
      </c>
      <c r="C41" t="s">
        <v>7</v>
      </c>
      <c r="D41" s="4">
        <v>0.81</v>
      </c>
      <c r="F41" s="12" t="s">
        <v>74</v>
      </c>
    </row>
    <row r="42" spans="2:7" x14ac:dyDescent="0.2">
      <c r="C42" t="s">
        <v>9</v>
      </c>
      <c r="D42">
        <f>D41*2.54/100</f>
        <v>2.0574000000000002E-2</v>
      </c>
    </row>
    <row r="43" spans="2:7" x14ac:dyDescent="0.2">
      <c r="B43" t="s">
        <v>29</v>
      </c>
      <c r="C43" t="s">
        <v>9</v>
      </c>
      <c r="D43">
        <f>D42/2</f>
        <v>1.0287000000000001E-2</v>
      </c>
      <c r="F43" s="12" t="s">
        <v>75</v>
      </c>
      <c r="G43" s="12"/>
    </row>
    <row r="47" spans="2:7" x14ac:dyDescent="0.2">
      <c r="B47" t="s">
        <v>28</v>
      </c>
      <c r="C47" t="s">
        <v>30</v>
      </c>
      <c r="D47" s="2">
        <f>0.000000001*(300000000*1.8412/D43)/(2*PI())</f>
        <v>8.5458174750888798</v>
      </c>
    </row>
    <row r="49" spans="2:5" x14ac:dyDescent="0.2">
      <c r="B49" t="s">
        <v>36</v>
      </c>
      <c r="C49" t="s">
        <v>30</v>
      </c>
      <c r="D49" s="2">
        <f>0.000000001*(300000000*2.4048/D43)/(2*PI())</f>
        <v>11.161732491904051</v>
      </c>
    </row>
    <row r="51" spans="2:5" x14ac:dyDescent="0.2">
      <c r="B51" t="s">
        <v>32</v>
      </c>
      <c r="C51" t="s">
        <v>7</v>
      </c>
      <c r="D51" s="4">
        <v>4</v>
      </c>
    </row>
    <row r="52" spans="2:5" x14ac:dyDescent="0.2">
      <c r="B52" t="s">
        <v>33</v>
      </c>
      <c r="C52" t="s">
        <v>34</v>
      </c>
      <c r="D52" s="1">
        <f>PI()*(D51/2)^2</f>
        <v>12.566370614359172</v>
      </c>
    </row>
    <row r="53" spans="2:5" x14ac:dyDescent="0.2">
      <c r="B53" s="12" t="s">
        <v>76</v>
      </c>
      <c r="C53" s="12" t="s">
        <v>61</v>
      </c>
      <c r="D53" s="1"/>
    </row>
    <row r="54" spans="2:5" x14ac:dyDescent="0.2">
      <c r="C54" s="12" t="s">
        <v>138</v>
      </c>
      <c r="D54" t="e">
        <f>10*LOG(D53,10)</f>
        <v>#NUM!</v>
      </c>
    </row>
    <row r="56" spans="2:5" x14ac:dyDescent="0.2">
      <c r="B56" s="20" t="s">
        <v>31</v>
      </c>
      <c r="D56" s="61">
        <f>10*LOG(4*PI()*D52/D13^2)</f>
        <v>20.538446518447437</v>
      </c>
      <c r="E56" s="2">
        <f>10*LOG((D13^2)/(4*PI()*D52))</f>
        <v>-20.538446518447437</v>
      </c>
    </row>
    <row r="57" spans="2:5" x14ac:dyDescent="0.2">
      <c r="B57" t="s">
        <v>35</v>
      </c>
      <c r="D57" s="2">
        <f>D56-3</f>
        <v>17.538446518447437</v>
      </c>
    </row>
    <row r="59" spans="2:5" ht="25.5" x14ac:dyDescent="0.2">
      <c r="B59" s="17" t="s">
        <v>60</v>
      </c>
      <c r="C59" t="s">
        <v>61</v>
      </c>
      <c r="D59" s="18">
        <f>(4*PI()*D61^2*D62^2)/(D15^2)</f>
        <v>2.2340214425527419E-3</v>
      </c>
    </row>
    <row r="60" spans="2:5" x14ac:dyDescent="0.2">
      <c r="C60" s="16" t="s">
        <v>2</v>
      </c>
      <c r="D60" s="1">
        <f>10*LOG(D59,10)</f>
        <v>-26.509126627613036</v>
      </c>
    </row>
    <row r="61" spans="2:5" x14ac:dyDescent="0.2">
      <c r="B61" t="s">
        <v>62</v>
      </c>
      <c r="C61" t="s">
        <v>9</v>
      </c>
      <c r="D61">
        <v>0.02</v>
      </c>
    </row>
    <row r="62" spans="2:5" x14ac:dyDescent="0.2">
      <c r="B62" t="s">
        <v>63</v>
      </c>
      <c r="C62" t="s">
        <v>9</v>
      </c>
      <c r="D62">
        <v>0.02</v>
      </c>
    </row>
  </sheetData>
  <phoneticPr fontId="1" type="noConversion"/>
  <printOptions gridLines="1"/>
  <pageMargins left="0.75" right="0.75" top="1" bottom="1" header="0.5" footer="0.5"/>
  <pageSetup scale="73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42"/>
  <sheetViews>
    <sheetView topLeftCell="A15" zoomScale="70" zoomScaleNormal="70" workbookViewId="0">
      <selection activeCell="L40" sqref="L40"/>
    </sheetView>
  </sheetViews>
  <sheetFormatPr defaultRowHeight="12.75" x14ac:dyDescent="0.2"/>
  <cols>
    <col min="1" max="1" width="14.140625" customWidth="1"/>
    <col min="2" max="5" width="10" customWidth="1"/>
    <col min="6" max="6" width="12.140625" customWidth="1"/>
    <col min="7" max="7" width="24.7109375" customWidth="1"/>
    <col min="8" max="8" width="10.42578125" customWidth="1"/>
    <col min="9" max="9" width="11" customWidth="1"/>
    <col min="10" max="10" width="19.140625" customWidth="1"/>
    <col min="11" max="11" width="14.42578125" customWidth="1"/>
    <col min="12" max="12" width="16.28515625" customWidth="1"/>
    <col min="13" max="13" width="12.5703125" bestFit="1" customWidth="1"/>
    <col min="14" max="14" width="10" customWidth="1"/>
    <col min="16" max="16" width="13.85546875" customWidth="1"/>
  </cols>
  <sheetData>
    <row r="1" spans="1:23" x14ac:dyDescent="0.2">
      <c r="B1" s="106" t="s">
        <v>117</v>
      </c>
      <c r="C1" s="106"/>
      <c r="D1" s="106"/>
      <c r="E1" s="106"/>
      <c r="F1" s="106"/>
      <c r="G1" s="108" t="s">
        <v>118</v>
      </c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44"/>
      <c r="V1" s="44"/>
      <c r="W1" s="44"/>
    </row>
    <row r="2" spans="1:23" s="25" customFormat="1" ht="51" x14ac:dyDescent="0.2">
      <c r="A2" s="36"/>
      <c r="B2" s="39" t="s">
        <v>64</v>
      </c>
      <c r="C2" s="39" t="s">
        <v>104</v>
      </c>
      <c r="D2" s="39" t="s">
        <v>176</v>
      </c>
      <c r="E2" s="39" t="s">
        <v>104</v>
      </c>
      <c r="F2" s="39" t="s">
        <v>105</v>
      </c>
      <c r="G2" s="32" t="s">
        <v>104</v>
      </c>
      <c r="H2" s="32" t="s">
        <v>123</v>
      </c>
      <c r="I2" s="32" t="s">
        <v>96</v>
      </c>
      <c r="J2" s="32" t="s">
        <v>177</v>
      </c>
      <c r="K2" s="32" t="s">
        <v>104</v>
      </c>
      <c r="L2" s="32" t="s">
        <v>113</v>
      </c>
      <c r="M2" s="32" t="s">
        <v>104</v>
      </c>
      <c r="N2" s="32" t="s">
        <v>109</v>
      </c>
      <c r="O2" s="32" t="s">
        <v>104</v>
      </c>
      <c r="P2" s="32" t="s">
        <v>133</v>
      </c>
      <c r="Q2" s="32" t="s">
        <v>123</v>
      </c>
      <c r="R2" s="32" t="s">
        <v>104</v>
      </c>
      <c r="S2" s="32" t="s">
        <v>67</v>
      </c>
      <c r="T2" s="32" t="s">
        <v>104</v>
      </c>
      <c r="U2" s="36"/>
    </row>
    <row r="3" spans="1:23" s="5" customFormat="1" x14ac:dyDescent="0.2">
      <c r="A3" s="37" t="s">
        <v>106</v>
      </c>
      <c r="C3" s="5">
        <f>B6</f>
        <v>-4</v>
      </c>
      <c r="D3" s="5">
        <f>C6</f>
        <v>-4.1958333333333329</v>
      </c>
      <c r="E3" s="5">
        <f>D6</f>
        <v>21.804166666666667</v>
      </c>
      <c r="F3" s="5">
        <f>E6</f>
        <v>21.53</v>
      </c>
      <c r="G3" s="5">
        <f>F6</f>
        <v>19.53</v>
      </c>
      <c r="H3" s="5">
        <f t="shared" ref="H3" si="0">G6</f>
        <v>19.412500000000001</v>
      </c>
      <c r="I3" s="5">
        <f t="shared" ref="I3" si="1">H6</f>
        <v>9.4125000000000014</v>
      </c>
      <c r="J3" s="5">
        <f t="shared" ref="J3" si="2">I6</f>
        <v>-3.0874999999999986</v>
      </c>
      <c r="K3" s="5">
        <f t="shared" ref="K3" si="3">J6</f>
        <v>8.9125000000000014</v>
      </c>
      <c r="L3" s="5">
        <f t="shared" ref="L3" si="4">K6</f>
        <v>8.7950000000000017</v>
      </c>
      <c r="M3" s="5">
        <f t="shared" ref="M3" si="5">L6</f>
        <v>-3.2049999999999983</v>
      </c>
      <c r="N3" s="5">
        <f t="shared" ref="N3" si="6">M6</f>
        <v>-3.3224999999999985</v>
      </c>
      <c r="O3" s="5">
        <f t="shared" ref="O3" si="7">N6</f>
        <v>-6.322499999999998</v>
      </c>
      <c r="P3" s="59">
        <f t="shared" ref="P3" si="8">O6</f>
        <v>-6.5183333333333309</v>
      </c>
      <c r="Q3" s="59">
        <f t="shared" ref="Q3" si="9">P6</f>
        <v>25.481666666666669</v>
      </c>
      <c r="R3" s="59">
        <f t="shared" ref="R3" si="10">Q6</f>
        <v>22.481666666666669</v>
      </c>
      <c r="S3" s="59">
        <f t="shared" ref="S3" si="11">R6</f>
        <v>22.364166666666669</v>
      </c>
      <c r="T3" s="59">
        <f t="shared" ref="T3" si="12">S6</f>
        <v>20.364166666666669</v>
      </c>
    </row>
    <row r="4" spans="1:23" x14ac:dyDescent="0.2">
      <c r="A4" s="12" t="s">
        <v>107</v>
      </c>
      <c r="B4" s="22"/>
      <c r="C4">
        <v>0</v>
      </c>
      <c r="D4">
        <v>26</v>
      </c>
      <c r="E4">
        <v>0</v>
      </c>
      <c r="F4">
        <v>0</v>
      </c>
      <c r="G4">
        <v>0</v>
      </c>
      <c r="H4">
        <v>0</v>
      </c>
      <c r="I4" s="5">
        <v>0</v>
      </c>
      <c r="J4" s="5">
        <v>12</v>
      </c>
      <c r="K4">
        <v>0</v>
      </c>
      <c r="L4">
        <v>0</v>
      </c>
      <c r="M4">
        <v>0</v>
      </c>
      <c r="N4">
        <v>0</v>
      </c>
      <c r="O4">
        <v>0</v>
      </c>
      <c r="P4">
        <v>32</v>
      </c>
      <c r="S4">
        <v>0</v>
      </c>
      <c r="T4">
        <v>0</v>
      </c>
      <c r="U4" s="5"/>
    </row>
    <row r="5" spans="1:23" s="5" customFormat="1" x14ac:dyDescent="0.2">
      <c r="A5" s="37" t="s">
        <v>136</v>
      </c>
      <c r="B5" s="22"/>
      <c r="C5" s="7">
        <f>(0.47/12)*5</f>
        <v>0.1958333333333333</v>
      </c>
      <c r="D5" s="5">
        <v>0</v>
      </c>
      <c r="E5" s="7">
        <f>(0.47/12)*7</f>
        <v>0.27416666666666661</v>
      </c>
      <c r="F5" s="5">
        <v>2</v>
      </c>
      <c r="G5" s="7">
        <f>(0.47/12)*3</f>
        <v>0.11749999999999999</v>
      </c>
      <c r="H5" s="5">
        <v>10</v>
      </c>
      <c r="I5" s="5">
        <v>12.5</v>
      </c>
      <c r="J5" s="5">
        <v>0</v>
      </c>
      <c r="K5" s="7">
        <f>(0.47/12)*3</f>
        <v>0.11749999999999999</v>
      </c>
      <c r="L5" s="5">
        <v>12</v>
      </c>
      <c r="M5" s="7">
        <f>(0.47/12)*3</f>
        <v>0.11749999999999999</v>
      </c>
      <c r="N5" s="5">
        <v>3</v>
      </c>
      <c r="O5" s="7">
        <f>(0.47/12)*5</f>
        <v>0.1958333333333333</v>
      </c>
      <c r="P5" s="5">
        <v>0</v>
      </c>
      <c r="Q5" s="7">
        <v>3</v>
      </c>
      <c r="R5" s="7">
        <f>(0.47/12)*3</f>
        <v>0.11749999999999999</v>
      </c>
      <c r="S5" s="5">
        <v>2</v>
      </c>
      <c r="T5" s="7">
        <f>(0.47/12)*36</f>
        <v>1.41</v>
      </c>
    </row>
    <row r="6" spans="1:23" x14ac:dyDescent="0.2">
      <c r="A6" s="12" t="s">
        <v>108</v>
      </c>
      <c r="B6" s="1">
        <v>-4</v>
      </c>
      <c r="C6" s="1">
        <f>C3+C4-C5</f>
        <v>-4.1958333333333329</v>
      </c>
      <c r="D6" s="74">
        <f t="shared" ref="D6:T6" si="13">D3+D4-D5</f>
        <v>21.804166666666667</v>
      </c>
      <c r="E6" s="1">
        <f t="shared" si="13"/>
        <v>21.53</v>
      </c>
      <c r="F6" s="75">
        <f t="shared" si="13"/>
        <v>19.53</v>
      </c>
      <c r="G6" s="1">
        <f t="shared" si="13"/>
        <v>19.412500000000001</v>
      </c>
      <c r="H6" s="1">
        <f t="shared" si="13"/>
        <v>9.4125000000000014</v>
      </c>
      <c r="I6" s="1">
        <f t="shared" si="13"/>
        <v>-3.0874999999999986</v>
      </c>
      <c r="J6" s="74">
        <f t="shared" si="13"/>
        <v>8.9125000000000014</v>
      </c>
      <c r="K6" s="1">
        <f t="shared" si="13"/>
        <v>8.7950000000000017</v>
      </c>
      <c r="L6" s="59">
        <f t="shared" si="13"/>
        <v>-3.2049999999999983</v>
      </c>
      <c r="M6" s="1">
        <f t="shared" si="13"/>
        <v>-3.3224999999999985</v>
      </c>
      <c r="N6" s="1">
        <f t="shared" si="13"/>
        <v>-6.322499999999998</v>
      </c>
      <c r="O6" s="1">
        <f t="shared" si="13"/>
        <v>-6.5183333333333309</v>
      </c>
      <c r="P6" s="74">
        <f t="shared" si="13"/>
        <v>25.481666666666669</v>
      </c>
      <c r="Q6" s="59">
        <f t="shared" si="13"/>
        <v>22.481666666666669</v>
      </c>
      <c r="R6" s="59">
        <f t="shared" si="13"/>
        <v>22.364166666666669</v>
      </c>
      <c r="S6" s="75">
        <f t="shared" si="13"/>
        <v>20.364166666666669</v>
      </c>
      <c r="T6" s="76">
        <f t="shared" si="13"/>
        <v>18.954166666666669</v>
      </c>
      <c r="U6" s="5">
        <f>10^(T6/10)</f>
        <v>78.59893593957861</v>
      </c>
    </row>
    <row r="7" spans="1:23" ht="51" x14ac:dyDescent="0.2">
      <c r="A7" s="12"/>
      <c r="D7" s="35" t="s">
        <v>111</v>
      </c>
      <c r="E7" s="5"/>
      <c r="F7" s="24" t="s">
        <v>189</v>
      </c>
      <c r="G7" s="5"/>
      <c r="H7" s="25"/>
      <c r="I7" s="54"/>
      <c r="J7" s="35" t="s">
        <v>169</v>
      </c>
      <c r="K7" s="5"/>
      <c r="L7" s="36"/>
      <c r="M7" s="5"/>
      <c r="P7" s="23" t="s">
        <v>131</v>
      </c>
      <c r="Q7" s="5"/>
      <c r="R7" s="5"/>
      <c r="S7" s="24" t="s">
        <v>111</v>
      </c>
      <c r="T7" s="27" t="s">
        <v>114</v>
      </c>
      <c r="U7" s="5"/>
    </row>
    <row r="8" spans="1:23" x14ac:dyDescent="0.2">
      <c r="A8" s="12"/>
      <c r="B8" s="106" t="s">
        <v>116</v>
      </c>
      <c r="C8" s="106"/>
      <c r="D8" s="106"/>
      <c r="E8" s="106"/>
      <c r="F8" s="106"/>
      <c r="G8" s="109" t="s">
        <v>119</v>
      </c>
      <c r="H8" s="109"/>
      <c r="I8" s="109"/>
      <c r="J8" s="109"/>
      <c r="K8" s="109"/>
      <c r="L8" s="109"/>
      <c r="M8" s="109"/>
      <c r="N8" s="109"/>
      <c r="O8" s="109"/>
      <c r="P8" s="40"/>
      <c r="Q8" s="40"/>
      <c r="R8" s="40"/>
      <c r="S8" s="40"/>
      <c r="T8" s="5"/>
      <c r="U8" s="25"/>
      <c r="V8" s="5"/>
      <c r="W8" s="36"/>
    </row>
    <row r="9" spans="1:23" s="25" customFormat="1" ht="50.25" customHeight="1" x14ac:dyDescent="0.2">
      <c r="A9" s="36"/>
      <c r="B9" s="34" t="s">
        <v>64</v>
      </c>
      <c r="C9" s="39" t="s">
        <v>104</v>
      </c>
      <c r="D9" s="39" t="s">
        <v>176</v>
      </c>
      <c r="E9" s="39" t="s">
        <v>104</v>
      </c>
      <c r="F9" s="39" t="s">
        <v>105</v>
      </c>
      <c r="G9" s="30" t="s">
        <v>104</v>
      </c>
      <c r="H9" s="30" t="s">
        <v>123</v>
      </c>
      <c r="I9" s="30" t="s">
        <v>104</v>
      </c>
      <c r="J9" s="30" t="s">
        <v>96</v>
      </c>
      <c r="K9" s="30" t="s">
        <v>177</v>
      </c>
      <c r="L9" s="30" t="s">
        <v>104</v>
      </c>
      <c r="M9" s="30" t="s">
        <v>123</v>
      </c>
      <c r="N9" s="30" t="s">
        <v>104</v>
      </c>
      <c r="O9" s="31" t="s">
        <v>110</v>
      </c>
    </row>
    <row r="10" spans="1:23" x14ac:dyDescent="0.2">
      <c r="A10" s="12" t="s">
        <v>106</v>
      </c>
      <c r="B10" s="22"/>
      <c r="C10">
        <f t="shared" ref="C10:F10" si="14">B13</f>
        <v>-4</v>
      </c>
      <c r="D10">
        <f t="shared" si="14"/>
        <v>-4.1958333333333329</v>
      </c>
      <c r="E10">
        <f t="shared" si="14"/>
        <v>21.804166666666667</v>
      </c>
      <c r="F10">
        <f t="shared" si="14"/>
        <v>21.53</v>
      </c>
      <c r="G10">
        <f t="shared" ref="G10" si="15">F13</f>
        <v>19.53</v>
      </c>
      <c r="H10">
        <f t="shared" ref="H10" si="16">G13</f>
        <v>19.412500000000001</v>
      </c>
      <c r="I10">
        <f t="shared" ref="I10" si="17">H13</f>
        <v>9.4125000000000014</v>
      </c>
      <c r="J10">
        <f t="shared" ref="J10" si="18">I13</f>
        <v>9.2166666666666686</v>
      </c>
      <c r="K10">
        <f t="shared" ref="K10" si="19">J13</f>
        <v>-3.2833333333333314</v>
      </c>
      <c r="L10">
        <f t="shared" ref="L10" si="20">K13</f>
        <v>8.7166666666666686</v>
      </c>
      <c r="M10">
        <f t="shared" ref="M10" si="21">L13</f>
        <v>8.5991666666666688</v>
      </c>
      <c r="N10">
        <f t="shared" ref="N10" si="22">M13</f>
        <v>5.5991666666666688</v>
      </c>
      <c r="O10">
        <f t="shared" ref="O10" si="23">N13</f>
        <v>5.1291666666666691</v>
      </c>
    </row>
    <row r="11" spans="1:23" x14ac:dyDescent="0.2">
      <c r="A11" s="12" t="s">
        <v>107</v>
      </c>
      <c r="B11" s="22"/>
      <c r="C11">
        <v>0</v>
      </c>
      <c r="D11">
        <v>26</v>
      </c>
      <c r="E11">
        <v>0</v>
      </c>
      <c r="F11">
        <v>0</v>
      </c>
      <c r="G11">
        <v>0</v>
      </c>
      <c r="H11">
        <v>0</v>
      </c>
      <c r="I11">
        <v>0</v>
      </c>
      <c r="J11" s="5">
        <v>0</v>
      </c>
      <c r="K11" s="5">
        <v>12</v>
      </c>
      <c r="L11" s="5">
        <v>0</v>
      </c>
      <c r="M11">
        <v>0</v>
      </c>
      <c r="N11">
        <v>0</v>
      </c>
      <c r="O11" s="22"/>
    </row>
    <row r="12" spans="1:23" x14ac:dyDescent="0.2">
      <c r="A12" s="37" t="s">
        <v>136</v>
      </c>
      <c r="B12" s="22"/>
      <c r="C12" s="7">
        <f>(0.47/12)*5</f>
        <v>0.1958333333333333</v>
      </c>
      <c r="D12">
        <v>0</v>
      </c>
      <c r="E12" s="7">
        <f>(0.47/12)*7</f>
        <v>0.27416666666666661</v>
      </c>
      <c r="F12">
        <v>2</v>
      </c>
      <c r="G12" s="7">
        <f>(0.47/12)*3</f>
        <v>0.11749999999999999</v>
      </c>
      <c r="H12">
        <v>10</v>
      </c>
      <c r="I12" s="7">
        <f>(0.47/12)*5</f>
        <v>0.1958333333333333</v>
      </c>
      <c r="J12" s="5">
        <v>12.5</v>
      </c>
      <c r="K12" s="5">
        <v>0</v>
      </c>
      <c r="L12" s="7">
        <f>(0.47/12)*3</f>
        <v>0.11749999999999999</v>
      </c>
      <c r="M12">
        <v>3</v>
      </c>
      <c r="N12" s="7">
        <f>(0.47/12)*12</f>
        <v>0.47</v>
      </c>
      <c r="O12" s="22"/>
    </row>
    <row r="13" spans="1:23" x14ac:dyDescent="0.2">
      <c r="A13" s="12" t="s">
        <v>108</v>
      </c>
      <c r="B13" s="1">
        <f>B6</f>
        <v>-4</v>
      </c>
      <c r="C13" s="1">
        <f>C10+C11-C12</f>
        <v>-4.1958333333333329</v>
      </c>
      <c r="D13" s="74">
        <f t="shared" ref="D13:N13" si="24">D10+D11-D12</f>
        <v>21.804166666666667</v>
      </c>
      <c r="E13" s="1">
        <f t="shared" si="24"/>
        <v>21.53</v>
      </c>
      <c r="F13" s="75">
        <f t="shared" si="24"/>
        <v>19.53</v>
      </c>
      <c r="G13" s="59">
        <f t="shared" si="24"/>
        <v>19.412500000000001</v>
      </c>
      <c r="H13" s="59">
        <f t="shared" si="24"/>
        <v>9.4125000000000014</v>
      </c>
      <c r="I13" s="1">
        <f t="shared" si="24"/>
        <v>9.2166666666666686</v>
      </c>
      <c r="J13" s="1">
        <f t="shared" si="24"/>
        <v>-3.2833333333333314</v>
      </c>
      <c r="K13" s="74">
        <f t="shared" si="24"/>
        <v>8.7166666666666686</v>
      </c>
      <c r="L13" s="1">
        <f t="shared" si="24"/>
        <v>8.5991666666666688</v>
      </c>
      <c r="M13" s="1">
        <f>M10+M11-M12</f>
        <v>5.5991666666666688</v>
      </c>
      <c r="N13" s="1">
        <f t="shared" si="24"/>
        <v>5.1291666666666691</v>
      </c>
      <c r="O13" s="37" t="s">
        <v>164</v>
      </c>
    </row>
    <row r="14" spans="1:23" ht="63" customHeight="1" x14ac:dyDescent="0.2">
      <c r="A14" s="12"/>
      <c r="D14" s="35" t="s">
        <v>111</v>
      </c>
      <c r="E14" s="5"/>
      <c r="F14" s="24" t="s">
        <v>189</v>
      </c>
      <c r="G14" s="25"/>
      <c r="H14" s="25"/>
      <c r="I14" s="5"/>
      <c r="J14" s="54"/>
      <c r="K14" s="35" t="s">
        <v>169</v>
      </c>
      <c r="L14" s="5"/>
      <c r="M14" s="25"/>
      <c r="N14" s="5"/>
      <c r="O14" s="26" t="s">
        <v>172</v>
      </c>
    </row>
    <row r="15" spans="1:23" s="5" customFormat="1" ht="12" customHeight="1" x14ac:dyDescent="0.2">
      <c r="A15" s="37"/>
      <c r="B15" s="107" t="s">
        <v>120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60"/>
      <c r="N15" s="25"/>
      <c r="P15" s="25"/>
      <c r="R15" s="25"/>
      <c r="S15" s="25"/>
    </row>
    <row r="16" spans="1:23" s="5" customFormat="1" ht="38.25" x14ac:dyDescent="0.2">
      <c r="A16" s="36"/>
      <c r="B16" s="38" t="s">
        <v>139</v>
      </c>
      <c r="C16" s="33" t="s">
        <v>97</v>
      </c>
      <c r="D16" s="33" t="s">
        <v>104</v>
      </c>
      <c r="E16" s="38" t="s">
        <v>109</v>
      </c>
      <c r="F16" s="38" t="s">
        <v>171</v>
      </c>
      <c r="G16" s="33" t="s">
        <v>104</v>
      </c>
      <c r="H16" s="38" t="s">
        <v>113</v>
      </c>
      <c r="I16" s="38" t="s">
        <v>159</v>
      </c>
      <c r="J16" s="38" t="s">
        <v>170</v>
      </c>
      <c r="K16" s="33" t="s">
        <v>104</v>
      </c>
      <c r="L16" s="41" t="s">
        <v>130</v>
      </c>
      <c r="M16" s="43"/>
    </row>
    <row r="17" spans="1:16" x14ac:dyDescent="0.2">
      <c r="A17" s="12" t="s">
        <v>106</v>
      </c>
      <c r="B17" s="45">
        <f>Range!E24</f>
        <v>-51.840660524923535</v>
      </c>
      <c r="C17">
        <f>B21</f>
        <v>-53.250660524923532</v>
      </c>
      <c r="D17">
        <f>C21</f>
        <v>-57.950660524923535</v>
      </c>
      <c r="E17">
        <f>D21</f>
        <v>-58.068160524923535</v>
      </c>
      <c r="F17" s="19">
        <f t="shared" ref="F17:L17" si="25">E21</f>
        <v>-61.068160524923535</v>
      </c>
      <c r="G17">
        <f t="shared" si="25"/>
        <v>-23.068160524923535</v>
      </c>
      <c r="H17">
        <f t="shared" si="25"/>
        <v>-23.342327191590201</v>
      </c>
      <c r="I17">
        <f t="shared" si="25"/>
        <v>-37.342327191590201</v>
      </c>
      <c r="J17" s="19">
        <f t="shared" si="25"/>
        <v>-37.4598271915902</v>
      </c>
      <c r="K17">
        <f t="shared" si="25"/>
        <v>0.54017280840979964</v>
      </c>
      <c r="L17">
        <f t="shared" si="25"/>
        <v>7.017280840979967E-2</v>
      </c>
      <c r="M17" s="5">
        <v>12.000500000000001</v>
      </c>
    </row>
    <row r="18" spans="1:16" x14ac:dyDescent="0.2">
      <c r="A18" s="12" t="s">
        <v>107</v>
      </c>
      <c r="B18" s="12">
        <v>0</v>
      </c>
      <c r="C18">
        <v>0</v>
      </c>
      <c r="D18">
        <v>0</v>
      </c>
      <c r="E18" s="5">
        <v>0</v>
      </c>
      <c r="F18" s="5">
        <v>38</v>
      </c>
      <c r="G18" s="5">
        <v>0</v>
      </c>
      <c r="H18" s="5">
        <v>0</v>
      </c>
      <c r="I18" s="5">
        <v>0</v>
      </c>
      <c r="J18" s="5">
        <v>38</v>
      </c>
      <c r="K18" s="5">
        <v>0</v>
      </c>
      <c r="L18" s="5">
        <v>0</v>
      </c>
      <c r="M18" s="5">
        <f>SUM(B18:L18)</f>
        <v>76</v>
      </c>
    </row>
    <row r="19" spans="1:16" x14ac:dyDescent="0.2">
      <c r="A19" s="37" t="s">
        <v>136</v>
      </c>
      <c r="B19" s="7">
        <f>(0.47/12)*36</f>
        <v>1.41</v>
      </c>
      <c r="C19">
        <v>4.7</v>
      </c>
      <c r="D19" s="7">
        <f>(0.47/12)*3</f>
        <v>0.11749999999999999</v>
      </c>
      <c r="E19" s="5">
        <v>3</v>
      </c>
      <c r="F19" s="5">
        <v>0</v>
      </c>
      <c r="G19" s="7">
        <f>(0.47/12)*7</f>
        <v>0.27416666666666661</v>
      </c>
      <c r="H19" s="5">
        <v>14</v>
      </c>
      <c r="I19" s="7">
        <f>(0.47/12)*3</f>
        <v>0.11749999999999999</v>
      </c>
      <c r="J19" s="5">
        <v>0</v>
      </c>
      <c r="K19" s="7">
        <f>(0.47/12)*12</f>
        <v>0.47</v>
      </c>
      <c r="L19" s="5">
        <v>7</v>
      </c>
      <c r="M19" s="7">
        <f>SUM(B19:L19)</f>
        <v>31.089166666666664</v>
      </c>
    </row>
    <row r="20" spans="1:16" ht="25.5" x14ac:dyDescent="0.2">
      <c r="A20" s="36" t="s">
        <v>152</v>
      </c>
      <c r="B20" s="56">
        <f>IF(B18=0,(10^-(B19/10)),(10^(B18/10)))</f>
        <v>0.72276980360217025</v>
      </c>
      <c r="C20" s="56">
        <f>IF(C18=0,(10^-(C19/10)),(10^(C18/10)))</f>
        <v>0.33884415613920249</v>
      </c>
      <c r="D20" s="56">
        <f>IF(D18=0,(10^-(D19/10)),(10^(D18/10)))</f>
        <v>0.9733073432910333</v>
      </c>
      <c r="E20" s="56">
        <f>IF(E18=0,(10^-(E19/10)),(10^(E18/10)))</f>
        <v>0.50118723362727224</v>
      </c>
      <c r="F20" s="56">
        <f>IF(F18=0,(10^-(F19/10)),(10^(F18/10)))</f>
        <v>6309.5734448019384</v>
      </c>
      <c r="G20" s="56">
        <f t="shared" ref="G20:L20" si="26">IF(G18=0,(10^-(G19/10)),(10^(G18/10)))</f>
        <v>0.93882216254982243</v>
      </c>
      <c r="H20" s="56">
        <f t="shared" si="26"/>
        <v>3.9810717055349727E-2</v>
      </c>
      <c r="I20" s="56">
        <f t="shared" si="26"/>
        <v>0.9733073432910333</v>
      </c>
      <c r="J20" s="56">
        <f t="shared" si="26"/>
        <v>6309.5734448019384</v>
      </c>
      <c r="K20" s="56">
        <f t="shared" si="26"/>
        <v>0.89742879450074842</v>
      </c>
      <c r="L20" s="56">
        <f t="shared" si="26"/>
        <v>0.19952623149688795</v>
      </c>
      <c r="M20" s="59">
        <f>M18-M19</f>
        <v>44.910833333333336</v>
      </c>
    </row>
    <row r="21" spans="1:16" x14ac:dyDescent="0.2">
      <c r="A21" s="12" t="s">
        <v>108</v>
      </c>
      <c r="B21" s="57">
        <f>B17+B18-B19</f>
        <v>-53.250660524923532</v>
      </c>
      <c r="C21" s="58">
        <f>C17+C18-C19</f>
        <v>-57.950660524923535</v>
      </c>
      <c r="D21" s="57">
        <f>D17+D18-D19</f>
        <v>-58.068160524923535</v>
      </c>
      <c r="E21" s="57">
        <f>E17+E18-E19</f>
        <v>-61.068160524923535</v>
      </c>
      <c r="F21" s="57">
        <f>F17+F18-F19</f>
        <v>-23.068160524923535</v>
      </c>
      <c r="G21" s="57">
        <f t="shared" ref="G21:L21" si="27">G17+G18-G19</f>
        <v>-23.342327191590201</v>
      </c>
      <c r="H21" s="57">
        <f t="shared" si="27"/>
        <v>-37.342327191590201</v>
      </c>
      <c r="I21" s="57">
        <f t="shared" si="27"/>
        <v>-37.4598271915902</v>
      </c>
      <c r="J21" s="57">
        <f t="shared" si="27"/>
        <v>0.54017280840979964</v>
      </c>
      <c r="K21" s="57">
        <f t="shared" si="27"/>
        <v>7.017280840979967E-2</v>
      </c>
      <c r="L21" s="57">
        <f t="shared" si="27"/>
        <v>-6.9298271915902001</v>
      </c>
      <c r="M21" s="5"/>
    </row>
    <row r="22" spans="1:16" s="5" customFormat="1" x14ac:dyDescent="0.2">
      <c r="A22" s="37" t="s">
        <v>143</v>
      </c>
      <c r="B22" s="37">
        <f>10^((B21)/10)</f>
        <v>4.7307930215637839E-6</v>
      </c>
      <c r="C22" s="37">
        <f>10^((C21)/10)</f>
        <v>1.6030015692610045E-6</v>
      </c>
      <c r="D22" s="37">
        <f>10^((D21)/10)</f>
        <v>1.5602131986687881E-6</v>
      </c>
      <c r="E22" s="37">
        <f>10^((E21)/10)</f>
        <v>7.8195893690956717E-7</v>
      </c>
      <c r="F22" s="37">
        <f>10^((F21)/10)</f>
        <v>4.9338273432501601E-3</v>
      </c>
      <c r="G22" s="37">
        <f t="shared" ref="G22:L22" si="28">10^((G21)/10)</f>
        <v>4.6319864560375621E-3</v>
      </c>
      <c r="H22" s="37">
        <f t="shared" si="28"/>
        <v>1.8440270220552351E-4</v>
      </c>
      <c r="I22" s="37">
        <f t="shared" si="28"/>
        <v>1.7948050417934561E-4</v>
      </c>
      <c r="J22" s="37">
        <f t="shared" si="28"/>
        <v>1.1324454230296626</v>
      </c>
      <c r="K22" s="37">
        <f t="shared" si="28"/>
        <v>1.0162891308274002</v>
      </c>
      <c r="L22" s="37">
        <f t="shared" si="28"/>
        <v>0.2027763403852389</v>
      </c>
      <c r="M22" s="37">
        <f>SQRT(L22*50)</f>
        <v>3.184150910252519</v>
      </c>
    </row>
    <row r="23" spans="1:16" x14ac:dyDescent="0.2">
      <c r="A23" s="12" t="s">
        <v>140</v>
      </c>
      <c r="B23" s="12">
        <f>10^((B21-30)/10)</f>
        <v>4.7307930215637859E-9</v>
      </c>
      <c r="C23" s="12">
        <f>10^((C21-30)/10)</f>
        <v>1.6030015692610048E-9</v>
      </c>
      <c r="D23" s="12">
        <f>10^((D21-30)/10)</f>
        <v>1.5602131986687832E-9</v>
      </c>
      <c r="E23" s="12">
        <f>10^((E21-30)/10)</f>
        <v>7.819589369095674E-10</v>
      </c>
      <c r="F23" s="12">
        <f>10^((F21-30)/10)</f>
        <v>4.9338273432501609E-6</v>
      </c>
      <c r="G23" s="12">
        <f t="shared" ref="G23:L23" si="29">10^((G21-30)/10)</f>
        <v>4.631986456037559E-6</v>
      </c>
      <c r="H23" s="12">
        <f t="shared" si="29"/>
        <v>1.8440270220552356E-7</v>
      </c>
      <c r="I23" s="12">
        <f t="shared" si="29"/>
        <v>1.7948050417934598E-7</v>
      </c>
      <c r="J23" s="12">
        <f t="shared" si="29"/>
        <v>1.1324454230296618E-3</v>
      </c>
      <c r="K23" s="12">
        <f t="shared" si="29"/>
        <v>1.0162891308273993E-3</v>
      </c>
      <c r="L23" s="12">
        <f t="shared" si="29"/>
        <v>2.0277634038523866E-4</v>
      </c>
      <c r="M23" s="37">
        <f>SQRT(L23*50)</f>
        <v>0.10069169290096346</v>
      </c>
      <c r="N23" s="5"/>
    </row>
    <row r="24" spans="1:16" x14ac:dyDescent="0.2">
      <c r="A24" s="12" t="s">
        <v>69</v>
      </c>
      <c r="B24" s="37">
        <f>IF(B18=0,B19,B18)</f>
        <v>1.41</v>
      </c>
      <c r="C24" s="37">
        <f>IF(C18=0,C19,C18)</f>
        <v>4.7</v>
      </c>
      <c r="D24" s="37">
        <f>IF(D18=0,D19,D18)</f>
        <v>0.11749999999999999</v>
      </c>
      <c r="E24" s="37">
        <f>IF(E18=0,E19,E18)</f>
        <v>3</v>
      </c>
      <c r="F24" s="37">
        <v>2.2000000000000002</v>
      </c>
      <c r="G24" s="37">
        <f t="shared" ref="G24:L24" si="30">IF(G18=0,G19,G18)</f>
        <v>0.27416666666666661</v>
      </c>
      <c r="H24" s="37">
        <f t="shared" si="30"/>
        <v>14</v>
      </c>
      <c r="I24" s="37">
        <f t="shared" si="30"/>
        <v>0.11749999999999999</v>
      </c>
      <c r="J24" s="37">
        <v>2.5</v>
      </c>
      <c r="K24" s="37">
        <f t="shared" si="30"/>
        <v>0.47</v>
      </c>
      <c r="L24" s="37">
        <f t="shared" si="30"/>
        <v>7</v>
      </c>
      <c r="M24">
        <f>M23*10^3</f>
        <v>100.69169290096346</v>
      </c>
      <c r="N24" s="5"/>
    </row>
    <row r="25" spans="1:16" x14ac:dyDescent="0.2">
      <c r="A25" s="12" t="s">
        <v>150</v>
      </c>
      <c r="B25" s="56">
        <f>10^(B24/10)</f>
        <v>1.3835663789717809</v>
      </c>
      <c r="C25" s="56">
        <f>10^(C24/10)</f>
        <v>2.9512092266663861</v>
      </c>
      <c r="D25" s="56">
        <f>10^(D24/10)</f>
        <v>1.0274246946691177</v>
      </c>
      <c r="E25" s="56">
        <f>10^(E24/10)</f>
        <v>1.9952623149688797</v>
      </c>
      <c r="F25" s="56">
        <f>10^(F24/10)</f>
        <v>1.6595869074375609</v>
      </c>
      <c r="G25" s="56">
        <f t="shared" ref="G25:L25" si="31">10^(G24/10)</f>
        <v>1.0651644580737418</v>
      </c>
      <c r="H25" s="56">
        <f t="shared" si="31"/>
        <v>25.118864315095799</v>
      </c>
      <c r="I25" s="56">
        <f t="shared" si="31"/>
        <v>1.0274246946691177</v>
      </c>
      <c r="J25" s="56">
        <f t="shared" si="31"/>
        <v>1.778279410038923</v>
      </c>
      <c r="K25" s="56">
        <f t="shared" si="31"/>
        <v>1.11429453359173</v>
      </c>
      <c r="L25" s="56">
        <f t="shared" si="31"/>
        <v>5.0118723362727229</v>
      </c>
      <c r="N25" s="5"/>
    </row>
    <row r="26" spans="1:16" x14ac:dyDescent="0.2">
      <c r="A26" s="12" t="s">
        <v>151</v>
      </c>
      <c r="B26" s="56">
        <f>B25</f>
        <v>1.3835663789717809</v>
      </c>
      <c r="C26" s="56">
        <f>B26+((C25-1)/(B20))</f>
        <v>4.0831938633269216</v>
      </c>
      <c r="D26" s="56">
        <f>C26+((D25-1)/(B20*C20))</f>
        <v>4.1951742083034773</v>
      </c>
      <c r="E26" s="56">
        <f t="shared" ref="E26:L26" si="32">D26+((E25-1)/(B20*C20*D20))</f>
        <v>8.3704730025573344</v>
      </c>
      <c r="F26" s="56">
        <f t="shared" si="32"/>
        <v>12.360924408039914</v>
      </c>
      <c r="G26" s="56">
        <f t="shared" si="32"/>
        <v>12.360945579986414</v>
      </c>
      <c r="H26" s="56">
        <f t="shared" si="32"/>
        <v>12.369069647446125</v>
      </c>
      <c r="I26" s="56">
        <f t="shared" si="32"/>
        <v>12.369185941756523</v>
      </c>
      <c r="J26" s="56">
        <f t="shared" si="32"/>
        <v>33.763689213831313</v>
      </c>
      <c r="K26" s="56">
        <f t="shared" si="32"/>
        <v>33.764156707205238</v>
      </c>
      <c r="L26" s="56">
        <f t="shared" si="32"/>
        <v>33.764884649753547</v>
      </c>
    </row>
    <row r="27" spans="1:16" ht="27" customHeight="1" x14ac:dyDescent="0.2">
      <c r="A27" s="16" t="s">
        <v>73</v>
      </c>
      <c r="B27" s="5">
        <f>290*(10^(B24/10)-1)</f>
        <v>111.23424990181647</v>
      </c>
      <c r="C27" s="5">
        <f>290*(10^(C24/10)-1)</f>
        <v>565.85067573325193</v>
      </c>
      <c r="D27" s="5">
        <f>290*(10^(D24/10)-1)</f>
        <v>7.9531614540441264</v>
      </c>
      <c r="E27" s="5">
        <f>290*(10^(E24/10)-1)</f>
        <v>288.6260713409751</v>
      </c>
      <c r="F27" s="5">
        <f>290*(10^(F24/10)-1)</f>
        <v>191.28020315689267</v>
      </c>
      <c r="G27" s="5">
        <f t="shared" ref="G27:L27" si="33">290*(10^(G24/10)-1)</f>
        <v>18.89769284138513</v>
      </c>
      <c r="H27" s="5">
        <f t="shared" si="33"/>
        <v>6994.4706513777819</v>
      </c>
      <c r="I27" s="5">
        <f t="shared" si="33"/>
        <v>7.9531614540441264</v>
      </c>
      <c r="J27" s="5">
        <f t="shared" si="33"/>
        <v>225.70102891128766</v>
      </c>
      <c r="K27" s="5">
        <f t="shared" si="33"/>
        <v>33.145414741601712</v>
      </c>
      <c r="L27" s="5">
        <f t="shared" si="33"/>
        <v>1163.4429775190897</v>
      </c>
    </row>
    <row r="28" spans="1:16" ht="24.75" customHeight="1" x14ac:dyDescent="0.2">
      <c r="A28" s="16" t="s">
        <v>154</v>
      </c>
      <c r="B28" s="5">
        <f>290*(10^(B26/10)-1)</f>
        <v>108.79952815274267</v>
      </c>
      <c r="C28" s="5">
        <f>290*(10^(C26/10)-1)</f>
        <v>452.5357778189059</v>
      </c>
      <c r="D28" s="5">
        <f>290*(10^(D26/10)-1)</f>
        <v>471.93060534289253</v>
      </c>
      <c r="E28" s="5">
        <f>290*(10^(E26/10)-1)</f>
        <v>1702.7154965742598</v>
      </c>
      <c r="F28" s="5">
        <f>290*(10^(F26/10)-1)</f>
        <v>4704.4818438578404</v>
      </c>
      <c r="G28" s="5">
        <f t="shared" ref="G28:L28" si="34">290*(10^(G26/10)-1)</f>
        <v>4704.506192120265</v>
      </c>
      <c r="H28" s="5">
        <f t="shared" si="34"/>
        <v>4713.8578375546531</v>
      </c>
      <c r="I28" s="5">
        <f t="shared" si="34"/>
        <v>4713.9918314256611</v>
      </c>
      <c r="J28" s="5">
        <f t="shared" si="34"/>
        <v>689579.45968020603</v>
      </c>
      <c r="K28" s="5">
        <f t="shared" si="34"/>
        <v>689653.72421118408</v>
      </c>
      <c r="L28" s="5">
        <f t="shared" si="34"/>
        <v>689769.37879752892</v>
      </c>
    </row>
    <row r="29" spans="1:16" ht="53.25" customHeight="1" x14ac:dyDescent="0.2">
      <c r="B29" s="46" t="s">
        <v>137</v>
      </c>
      <c r="C29" s="48" t="s">
        <v>111</v>
      </c>
      <c r="F29" s="35" t="s">
        <v>179</v>
      </c>
      <c r="H29" s="25"/>
      <c r="I29" s="25"/>
      <c r="J29" s="35" t="s">
        <v>169</v>
      </c>
      <c r="L29" s="42" t="s">
        <v>142</v>
      </c>
    </row>
    <row r="31" spans="1:16" x14ac:dyDescent="0.2">
      <c r="A31" s="12"/>
      <c r="O31" s="5"/>
      <c r="P31" s="5"/>
    </row>
    <row r="32" spans="1:16" ht="13.5" thickBot="1" x14ac:dyDescent="0.25">
      <c r="A32" s="12"/>
      <c r="B32" s="12"/>
      <c r="C32" s="12"/>
      <c r="D32" s="37"/>
      <c r="E32" s="37"/>
      <c r="F32" s="37"/>
      <c r="G32" s="37"/>
      <c r="H32" s="5"/>
      <c r="I32" s="5"/>
      <c r="J32" s="5"/>
      <c r="K32" s="5"/>
      <c r="L32" s="5"/>
      <c r="M32" s="5"/>
      <c r="N32" s="5"/>
      <c r="O32" s="5"/>
      <c r="P32" s="5"/>
    </row>
    <row r="33" spans="1:16" ht="25.5" x14ac:dyDescent="0.2">
      <c r="A33" s="16" t="s">
        <v>153</v>
      </c>
      <c r="C33" s="104">
        <f>L26</f>
        <v>33.764884649753547</v>
      </c>
      <c r="D33" s="104"/>
      <c r="F33" s="5"/>
      <c r="G33" s="5"/>
      <c r="H33" s="5"/>
      <c r="I33" s="5"/>
      <c r="J33" s="5"/>
      <c r="K33" s="5"/>
      <c r="L33" s="88">
        <f>(L23*50)^0.5</f>
        <v>0.10069169290096346</v>
      </c>
      <c r="M33" s="89" t="s">
        <v>181</v>
      </c>
      <c r="N33" s="90"/>
      <c r="O33" s="5"/>
      <c r="P33" s="5"/>
    </row>
    <row r="34" spans="1:16" ht="25.5" x14ac:dyDescent="0.2">
      <c r="A34" s="16" t="s">
        <v>145</v>
      </c>
      <c r="C34" s="105">
        <f>10*LOG(C33,10)</f>
        <v>15.284652703878731</v>
      </c>
      <c r="D34" s="105"/>
      <c r="E34" s="5">
        <f>SUM(B24:F24)</f>
        <v>11.427499999999998</v>
      </c>
      <c r="F34" s="5"/>
      <c r="G34" s="5"/>
      <c r="H34" s="5"/>
      <c r="K34" s="5"/>
      <c r="L34" s="91">
        <f>2*L33*2^0.5</f>
        <v>0.28479911543769842</v>
      </c>
      <c r="M34" s="92" t="s">
        <v>182</v>
      </c>
      <c r="N34" s="93"/>
      <c r="O34" s="5"/>
      <c r="P34" s="5"/>
    </row>
    <row r="35" spans="1:16" ht="25.5" x14ac:dyDescent="0.2">
      <c r="A35" s="16" t="s">
        <v>146</v>
      </c>
      <c r="C35" s="105">
        <f>L28</f>
        <v>689769.37879752892</v>
      </c>
      <c r="D35" s="105"/>
      <c r="E35" s="5"/>
      <c r="F35" s="5"/>
      <c r="G35" s="5"/>
      <c r="H35" s="5"/>
      <c r="K35" s="5"/>
      <c r="L35" s="94">
        <f>-174-SUM(G19:L19)+L26+G18+J18</f>
        <v>-124.09678201691312</v>
      </c>
      <c r="M35" s="95" t="s">
        <v>183</v>
      </c>
      <c r="N35" s="93"/>
      <c r="O35" s="5"/>
      <c r="P35" s="5"/>
    </row>
    <row r="36" spans="1:16" x14ac:dyDescent="0.2">
      <c r="D36" s="5"/>
      <c r="E36" s="5"/>
      <c r="F36" s="5"/>
      <c r="G36" s="5"/>
      <c r="H36" s="5"/>
      <c r="K36" s="5"/>
      <c r="L36" s="96">
        <f>L35+10*LOG(500000)</f>
        <v>-67.107081973552937</v>
      </c>
      <c r="M36" s="95" t="s">
        <v>184</v>
      </c>
      <c r="N36" s="93"/>
      <c r="O36" s="5"/>
      <c r="P36" s="5"/>
    </row>
    <row r="37" spans="1:16" x14ac:dyDescent="0.2">
      <c r="D37" s="5"/>
      <c r="E37" s="5"/>
      <c r="F37" s="5"/>
      <c r="G37" s="5"/>
      <c r="H37" s="5"/>
      <c r="K37" s="5"/>
      <c r="L37" s="97">
        <f>L21</f>
        <v>-6.9298271915902001</v>
      </c>
      <c r="M37" s="95" t="s">
        <v>185</v>
      </c>
      <c r="N37" s="93"/>
      <c r="O37" s="5"/>
      <c r="P37" s="5"/>
    </row>
    <row r="38" spans="1:16" x14ac:dyDescent="0.2">
      <c r="D38" s="5"/>
      <c r="E38" s="5"/>
      <c r="F38" s="5"/>
      <c r="G38" s="37"/>
      <c r="H38" s="5"/>
      <c r="K38" s="5"/>
      <c r="L38" s="96">
        <v>5</v>
      </c>
      <c r="M38" s="95" t="s">
        <v>186</v>
      </c>
      <c r="N38" s="93"/>
      <c r="O38" s="5"/>
      <c r="P38" s="5"/>
    </row>
    <row r="39" spans="1:16" x14ac:dyDescent="0.2">
      <c r="D39" s="5"/>
      <c r="E39" s="5"/>
      <c r="F39" s="5"/>
      <c r="G39" s="37"/>
      <c r="H39" s="54"/>
      <c r="K39" s="54"/>
      <c r="L39" s="98"/>
      <c r="M39" s="99"/>
      <c r="N39" s="100"/>
      <c r="O39" s="5"/>
      <c r="P39" s="5"/>
    </row>
    <row r="40" spans="1:16" ht="13.5" thickBot="1" x14ac:dyDescent="0.25">
      <c r="D40" s="5"/>
      <c r="E40" s="5"/>
      <c r="F40" s="5"/>
      <c r="G40" s="37"/>
      <c r="H40" s="5"/>
      <c r="K40" s="5"/>
      <c r="L40" s="101">
        <f>L37-L38-L36</f>
        <v>55.177254781962738</v>
      </c>
      <c r="M40" s="102" t="s">
        <v>187</v>
      </c>
      <c r="N40" s="103"/>
      <c r="O40" s="5"/>
      <c r="P40" s="5"/>
    </row>
    <row r="41" spans="1:16" x14ac:dyDescent="0.2">
      <c r="D41" s="5"/>
      <c r="E41" s="5"/>
      <c r="F41" s="5"/>
      <c r="G41" s="54"/>
      <c r="H41" s="5"/>
      <c r="K41" s="5"/>
      <c r="L41" s="59"/>
      <c r="N41" s="5"/>
      <c r="O41" s="5"/>
      <c r="P41" s="5"/>
    </row>
    <row r="42" spans="1:16" x14ac:dyDescent="0.2"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</sheetData>
  <mergeCells count="8">
    <mergeCell ref="C33:D33"/>
    <mergeCell ref="C35:D35"/>
    <mergeCell ref="C34:D34"/>
    <mergeCell ref="B8:F8"/>
    <mergeCell ref="B1:F1"/>
    <mergeCell ref="B15:L15"/>
    <mergeCell ref="G1:T1"/>
    <mergeCell ref="G8:O8"/>
  </mergeCells>
  <pageMargins left="0.7" right="0.7" top="0.75" bottom="0.75" header="0.3" footer="0.3"/>
  <pageSetup orientation="portrait" horizontalDpi="4294967293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1"/>
  <sheetViews>
    <sheetView workbookViewId="0"/>
  </sheetViews>
  <sheetFormatPr defaultRowHeight="12.75" x14ac:dyDescent="0.2"/>
  <sheetData>
    <row r="1" spans="7:7" x14ac:dyDescent="0.2">
      <c r="G1" s="21"/>
    </row>
  </sheetData>
  <pageMargins left="0.7" right="0.7" top="0.75" bottom="0.7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workbookViewId="0">
      <selection activeCell="C21" sqref="C21"/>
    </sheetView>
  </sheetViews>
  <sheetFormatPr defaultRowHeight="12.75" x14ac:dyDescent="0.2"/>
  <cols>
    <col min="1" max="1" width="26.7109375" style="12" customWidth="1"/>
    <col min="2" max="2" width="29.5703125" style="12" customWidth="1"/>
    <col min="3" max="3" width="26.85546875" style="12" customWidth="1"/>
    <col min="4" max="16384" width="9.140625" style="12"/>
  </cols>
  <sheetData>
    <row r="1" spans="1:3" x14ac:dyDescent="0.2">
      <c r="A1" s="29" t="s">
        <v>77</v>
      </c>
      <c r="B1" s="29" t="s">
        <v>78</v>
      </c>
      <c r="C1" s="29" t="s">
        <v>79</v>
      </c>
    </row>
    <row r="2" spans="1:3" ht="13.5" customHeight="1" x14ac:dyDescent="0.2">
      <c r="A2" s="29" t="s">
        <v>64</v>
      </c>
      <c r="B2" s="29" t="s">
        <v>115</v>
      </c>
      <c r="C2" s="50" t="s">
        <v>80</v>
      </c>
    </row>
    <row r="3" spans="1:3" x14ac:dyDescent="0.2">
      <c r="A3" s="29" t="s">
        <v>66</v>
      </c>
      <c r="B3" s="29" t="s">
        <v>132</v>
      </c>
      <c r="C3" s="50" t="s">
        <v>81</v>
      </c>
    </row>
    <row r="4" spans="1:3" x14ac:dyDescent="0.2">
      <c r="A4" s="49" t="s">
        <v>129</v>
      </c>
      <c r="B4" s="49" t="s">
        <v>191</v>
      </c>
      <c r="C4" s="50" t="s">
        <v>121</v>
      </c>
    </row>
    <row r="5" spans="1:3" x14ac:dyDescent="0.2">
      <c r="A5" s="29" t="s">
        <v>82</v>
      </c>
      <c r="B5" s="29" t="s">
        <v>83</v>
      </c>
      <c r="C5" s="51" t="s">
        <v>84</v>
      </c>
    </row>
    <row r="6" spans="1:3" x14ac:dyDescent="0.2">
      <c r="A6" s="29" t="s">
        <v>71</v>
      </c>
      <c r="B6" s="29" t="s">
        <v>85</v>
      </c>
      <c r="C6" s="51" t="s">
        <v>81</v>
      </c>
    </row>
    <row r="7" spans="1:3" x14ac:dyDescent="0.2">
      <c r="A7" s="29" t="s">
        <v>71</v>
      </c>
      <c r="B7" s="87" t="s">
        <v>190</v>
      </c>
      <c r="C7" s="50" t="s">
        <v>81</v>
      </c>
    </row>
    <row r="8" spans="1:3" x14ac:dyDescent="0.2">
      <c r="A8" s="29" t="s">
        <v>86</v>
      </c>
      <c r="B8" s="29" t="s">
        <v>100</v>
      </c>
      <c r="C8" s="51" t="s">
        <v>80</v>
      </c>
    </row>
    <row r="9" spans="1:3" x14ac:dyDescent="0.2">
      <c r="A9" s="29" t="s">
        <v>87</v>
      </c>
      <c r="B9" s="29" t="s">
        <v>188</v>
      </c>
      <c r="C9" s="50" t="s">
        <v>80</v>
      </c>
    </row>
    <row r="10" spans="1:3" x14ac:dyDescent="0.2">
      <c r="A10" s="29" t="s">
        <v>89</v>
      </c>
      <c r="B10" s="29" t="s">
        <v>144</v>
      </c>
      <c r="C10" s="50" t="s">
        <v>134</v>
      </c>
    </row>
    <row r="11" spans="1:3" x14ac:dyDescent="0.2">
      <c r="A11" s="29" t="s">
        <v>68</v>
      </c>
      <c r="B11" s="29" t="s">
        <v>90</v>
      </c>
      <c r="C11" s="50" t="s">
        <v>91</v>
      </c>
    </row>
    <row r="12" spans="1:3" x14ac:dyDescent="0.2">
      <c r="A12" s="29" t="s">
        <v>92</v>
      </c>
      <c r="B12" s="52" t="s">
        <v>112</v>
      </c>
      <c r="C12" s="51" t="s">
        <v>81</v>
      </c>
    </row>
    <row r="13" spans="1:3" x14ac:dyDescent="0.2">
      <c r="A13" s="49" t="s">
        <v>124</v>
      </c>
      <c r="B13" s="49" t="s">
        <v>166</v>
      </c>
      <c r="C13" s="50" t="s">
        <v>81</v>
      </c>
    </row>
    <row r="14" spans="1:3" x14ac:dyDescent="0.2">
      <c r="A14" s="49" t="s">
        <v>124</v>
      </c>
      <c r="B14" s="49" t="s">
        <v>167</v>
      </c>
      <c r="C14" s="50" t="s">
        <v>81</v>
      </c>
    </row>
    <row r="15" spans="1:3" x14ac:dyDescent="0.2">
      <c r="A15" s="49" t="s">
        <v>124</v>
      </c>
      <c r="B15" s="49" t="s">
        <v>165</v>
      </c>
      <c r="C15" s="50" t="s">
        <v>81</v>
      </c>
    </row>
    <row r="16" spans="1:3" x14ac:dyDescent="0.2">
      <c r="A16" s="49" t="s">
        <v>124</v>
      </c>
      <c r="B16" s="49" t="s">
        <v>125</v>
      </c>
      <c r="C16" s="50" t="s">
        <v>81</v>
      </c>
    </row>
    <row r="17" spans="1:3" x14ac:dyDescent="0.2">
      <c r="A17" s="49" t="s">
        <v>124</v>
      </c>
      <c r="B17" s="49" t="s">
        <v>126</v>
      </c>
      <c r="C17" s="50" t="s">
        <v>81</v>
      </c>
    </row>
    <row r="18" spans="1:3" x14ac:dyDescent="0.2">
      <c r="A18" s="49" t="s">
        <v>124</v>
      </c>
      <c r="B18" s="49" t="s">
        <v>127</v>
      </c>
      <c r="C18" s="50" t="s">
        <v>81</v>
      </c>
    </row>
    <row r="19" spans="1:3" x14ac:dyDescent="0.2">
      <c r="A19" s="49" t="s">
        <v>124</v>
      </c>
      <c r="B19" s="49" t="s">
        <v>128</v>
      </c>
      <c r="C19" s="50" t="s">
        <v>81</v>
      </c>
    </row>
    <row r="20" spans="1:3" x14ac:dyDescent="0.2">
      <c r="A20" s="29" t="s">
        <v>93</v>
      </c>
      <c r="B20" s="29" t="s">
        <v>94</v>
      </c>
      <c r="C20" s="51" t="s">
        <v>95</v>
      </c>
    </row>
    <row r="21" spans="1:3" x14ac:dyDescent="0.2">
      <c r="A21" s="49" t="s">
        <v>72</v>
      </c>
      <c r="B21" s="29" t="s">
        <v>99</v>
      </c>
      <c r="C21" s="50" t="s">
        <v>98</v>
      </c>
    </row>
    <row r="22" spans="1:3" x14ac:dyDescent="0.2">
      <c r="A22" s="49" t="s">
        <v>65</v>
      </c>
      <c r="B22" s="29" t="s">
        <v>102</v>
      </c>
      <c r="C22" s="51" t="s">
        <v>101</v>
      </c>
    </row>
  </sheetData>
  <hyperlinks>
    <hyperlink ref="C2" r:id="rId1"/>
    <hyperlink ref="C3" r:id="rId2"/>
    <hyperlink ref="C5" r:id="rId3"/>
    <hyperlink ref="C6" r:id="rId4"/>
    <hyperlink ref="C8" r:id="rId5"/>
    <hyperlink ref="C10" r:id="rId6" display="Hittite"/>
    <hyperlink ref="C11" r:id="rId7"/>
    <hyperlink ref="C20" r:id="rId8"/>
    <hyperlink ref="C21" r:id="rId9"/>
    <hyperlink ref="C22" r:id="rId10"/>
    <hyperlink ref="C4" r:id="rId11"/>
    <hyperlink ref="C12" r:id="rId12"/>
    <hyperlink ref="C16:C18" r:id="rId13" display="Fairview Microwave"/>
    <hyperlink ref="C16" r:id="rId14"/>
    <hyperlink ref="C17:C19" r:id="rId15" display="Fairview Microwave"/>
    <hyperlink ref="C13:C15" r:id="rId16" display="Fairview Microwave"/>
    <hyperlink ref="C7" r:id="rId17"/>
    <hyperlink ref="C9" r:id="rId18"/>
  </hyperlinks>
  <pageMargins left="0.7" right="0.7" top="0.75" bottom="0.75" header="0.3" footer="0.3"/>
  <pageSetup orientation="portrait" horizontalDpi="4294967293" verticalDpi="0" r:id="rId1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workbookViewId="0"/>
  </sheetViews>
  <sheetFormatPr defaultRowHeight="12.75" x14ac:dyDescent="0.2"/>
  <cols>
    <col min="1" max="1" width="22.28515625" customWidth="1"/>
    <col min="2" max="2" width="22.140625" customWidth="1"/>
    <col min="3" max="3" width="9.7109375" customWidth="1"/>
    <col min="4" max="4" width="8" customWidth="1"/>
  </cols>
  <sheetData>
    <row r="1" spans="1:4" ht="25.5" x14ac:dyDescent="0.2">
      <c r="A1" s="29" t="s">
        <v>77</v>
      </c>
      <c r="B1" s="29" t="s">
        <v>78</v>
      </c>
      <c r="C1" s="17" t="s">
        <v>148</v>
      </c>
      <c r="D1" s="55" t="s">
        <v>149</v>
      </c>
    </row>
    <row r="2" spans="1:4" x14ac:dyDescent="0.2">
      <c r="A2" s="29" t="s">
        <v>64</v>
      </c>
      <c r="B2" s="29" t="s">
        <v>115</v>
      </c>
      <c r="C2" s="17"/>
    </row>
    <row r="3" spans="1:4" x14ac:dyDescent="0.2">
      <c r="A3" s="29" t="s">
        <v>66</v>
      </c>
      <c r="B3" s="29" t="s">
        <v>132</v>
      </c>
      <c r="C3" s="17">
        <v>15</v>
      </c>
      <c r="D3">
        <v>900</v>
      </c>
    </row>
    <row r="4" spans="1:4" x14ac:dyDescent="0.2">
      <c r="A4" s="49" t="s">
        <v>129</v>
      </c>
      <c r="B4" s="49" t="s">
        <v>122</v>
      </c>
      <c r="C4" s="17">
        <v>12</v>
      </c>
      <c r="D4">
        <v>400</v>
      </c>
    </row>
    <row r="5" spans="1:4" x14ac:dyDescent="0.2">
      <c r="A5" s="29" t="s">
        <v>82</v>
      </c>
      <c r="B5" s="29" t="s">
        <v>83</v>
      </c>
      <c r="C5" s="17"/>
    </row>
    <row r="6" spans="1:4" x14ac:dyDescent="0.2">
      <c r="A6" s="29" t="s">
        <v>71</v>
      </c>
      <c r="B6" s="29" t="s">
        <v>85</v>
      </c>
      <c r="C6" s="17"/>
    </row>
    <row r="7" spans="1:4" x14ac:dyDescent="0.2">
      <c r="A7" s="29" t="s">
        <v>86</v>
      </c>
      <c r="B7" s="29" t="s">
        <v>100</v>
      </c>
      <c r="C7" s="17"/>
    </row>
    <row r="8" spans="1:4" x14ac:dyDescent="0.2">
      <c r="A8" s="29" t="s">
        <v>87</v>
      </c>
      <c r="B8" s="29" t="s">
        <v>88</v>
      </c>
      <c r="C8" s="17"/>
    </row>
    <row r="9" spans="1:4" x14ac:dyDescent="0.2">
      <c r="A9" s="29" t="s">
        <v>89</v>
      </c>
      <c r="B9" s="29" t="s">
        <v>144</v>
      </c>
      <c r="C9" s="17"/>
    </row>
    <row r="10" spans="1:4" x14ac:dyDescent="0.2">
      <c r="A10" s="29" t="s">
        <v>68</v>
      </c>
      <c r="B10" s="29" t="s">
        <v>90</v>
      </c>
      <c r="C10" s="17"/>
    </row>
    <row r="11" spans="1:4" x14ac:dyDescent="0.2">
      <c r="A11" s="29" t="s">
        <v>92</v>
      </c>
      <c r="B11" s="52" t="s">
        <v>112</v>
      </c>
      <c r="C11" s="17"/>
    </row>
    <row r="12" spans="1:4" x14ac:dyDescent="0.2">
      <c r="A12" s="49" t="s">
        <v>124</v>
      </c>
      <c r="B12" s="49" t="s">
        <v>125</v>
      </c>
      <c r="C12" s="17"/>
    </row>
    <row r="13" spans="1:4" x14ac:dyDescent="0.2">
      <c r="A13" s="49" t="s">
        <v>124</v>
      </c>
      <c r="B13" s="49" t="s">
        <v>126</v>
      </c>
      <c r="C13" s="17"/>
    </row>
    <row r="14" spans="1:4" x14ac:dyDescent="0.2">
      <c r="A14" s="49" t="s">
        <v>124</v>
      </c>
      <c r="B14" s="49" t="s">
        <v>127</v>
      </c>
      <c r="C14" s="17"/>
    </row>
    <row r="15" spans="1:4" x14ac:dyDescent="0.2">
      <c r="A15" s="49" t="s">
        <v>124</v>
      </c>
      <c r="B15" s="49" t="s">
        <v>128</v>
      </c>
      <c r="C15" s="17"/>
    </row>
    <row r="16" spans="1:4" x14ac:dyDescent="0.2">
      <c r="A16" s="29" t="s">
        <v>93</v>
      </c>
      <c r="B16" s="29" t="s">
        <v>94</v>
      </c>
      <c r="C16" s="17"/>
    </row>
    <row r="17" spans="1:3" x14ac:dyDescent="0.2">
      <c r="A17" s="49" t="s">
        <v>72</v>
      </c>
      <c r="B17" s="29" t="s">
        <v>99</v>
      </c>
      <c r="C17" s="17"/>
    </row>
    <row r="18" spans="1:3" x14ac:dyDescent="0.2">
      <c r="A18" s="49" t="s">
        <v>65</v>
      </c>
      <c r="B18" s="29" t="s">
        <v>102</v>
      </c>
      <c r="C18" s="17"/>
    </row>
    <row r="19" spans="1:3" x14ac:dyDescent="0.2">
      <c r="A19" s="49" t="s">
        <v>103</v>
      </c>
      <c r="B19" s="53" t="s">
        <v>135</v>
      </c>
      <c r="C19" s="1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9"/>
  <sheetViews>
    <sheetView zoomScale="80" zoomScaleNormal="80" workbookViewId="0">
      <selection activeCell="C23" sqref="C23"/>
    </sheetView>
  </sheetViews>
  <sheetFormatPr defaultRowHeight="12.75" x14ac:dyDescent="0.2"/>
  <cols>
    <col min="1" max="1" width="15.28515625" style="17" customWidth="1"/>
    <col min="2" max="3" width="11.140625" customWidth="1"/>
    <col min="4" max="4" width="10.140625" customWidth="1"/>
    <col min="5" max="5" width="12.28515625" style="5" customWidth="1"/>
    <col min="6" max="6" width="10" customWidth="1"/>
    <col min="7" max="7" width="13.85546875" customWidth="1"/>
    <col min="8" max="8" width="9.5703125" bestFit="1" customWidth="1"/>
  </cols>
  <sheetData>
    <row r="2" spans="1:14" ht="38.25" x14ac:dyDescent="0.2">
      <c r="A2" s="17" t="s">
        <v>155</v>
      </c>
      <c r="B2" s="17" t="s">
        <v>156</v>
      </c>
      <c r="C2" s="17" t="s">
        <v>161</v>
      </c>
      <c r="D2" s="17" t="s">
        <v>107</v>
      </c>
      <c r="E2" s="78" t="s">
        <v>162</v>
      </c>
      <c r="F2" s="79" t="s">
        <v>163</v>
      </c>
      <c r="G2" s="17" t="s">
        <v>157</v>
      </c>
      <c r="H2" s="17" t="s">
        <v>180</v>
      </c>
      <c r="I2" s="17"/>
    </row>
    <row r="3" spans="1:14" x14ac:dyDescent="0.2">
      <c r="A3" s="17" t="str">
        <f>'Signal Chains'!B2</f>
        <v>VCO</v>
      </c>
      <c r="B3" s="68">
        <f>'Signal Chains'!B3</f>
        <v>0</v>
      </c>
      <c r="C3" s="67">
        <f>10^(B3/10)</f>
        <v>1</v>
      </c>
      <c r="D3" s="77">
        <f>'Signal Chains'!B4</f>
        <v>0</v>
      </c>
      <c r="E3" s="80">
        <f>'Signal Chains'!B6</f>
        <v>-4</v>
      </c>
      <c r="F3" s="69">
        <f t="shared" ref="F3:F21" si="0">10^(E3/10)</f>
        <v>0.3981071705534972</v>
      </c>
      <c r="G3" s="65" t="s">
        <v>164</v>
      </c>
      <c r="H3" s="81">
        <f>F3*10^3</f>
        <v>398.10717055349721</v>
      </c>
      <c r="I3" s="65"/>
      <c r="J3" s="65"/>
      <c r="K3" s="65"/>
      <c r="L3" s="65"/>
      <c r="M3" s="65"/>
      <c r="N3" s="65"/>
    </row>
    <row r="4" spans="1:14" ht="12" customHeight="1" x14ac:dyDescent="0.2">
      <c r="A4" s="17" t="str">
        <f>'Signal Chains'!C2</f>
        <v>cable</v>
      </c>
      <c r="B4" s="68">
        <f>'Signal Chains'!C3</f>
        <v>-4</v>
      </c>
      <c r="C4" s="68">
        <f t="shared" ref="C4:C21" si="1">10^(B4/10)</f>
        <v>0.3981071705534972</v>
      </c>
      <c r="D4" s="77">
        <f>-'Signal Chains'!C5</f>
        <v>-0.1958333333333333</v>
      </c>
      <c r="E4" s="80">
        <f>'Signal Chains'!C6</f>
        <v>-4.1958333333333329</v>
      </c>
      <c r="F4" s="69">
        <f t="shared" si="0"/>
        <v>0.38055432903456704</v>
      </c>
      <c r="G4" s="65" t="s">
        <v>164</v>
      </c>
      <c r="H4" s="81">
        <f t="shared" ref="H4:H21" si="2">F4*10^3</f>
        <v>380.55432903456705</v>
      </c>
      <c r="I4" s="65"/>
      <c r="J4" s="65"/>
      <c r="K4" s="65"/>
      <c r="L4" s="65"/>
      <c r="M4" s="65"/>
      <c r="N4" s="65"/>
    </row>
    <row r="5" spans="1:14" ht="40.5" customHeight="1" x14ac:dyDescent="0.2">
      <c r="A5" s="17" t="str">
        <f>'Signal Chains'!D2</f>
        <v>Super Ultra Wideband Amplifier</v>
      </c>
      <c r="B5" s="68">
        <f>'Signal Chains'!D3</f>
        <v>-4.1958333333333329</v>
      </c>
      <c r="C5" s="68">
        <f t="shared" si="1"/>
        <v>0.38055432903456704</v>
      </c>
      <c r="D5" s="77">
        <f>'Signal Chains'!D4</f>
        <v>26</v>
      </c>
      <c r="E5" s="80">
        <f>'Signal Chains'!D6</f>
        <v>21.804166666666667</v>
      </c>
      <c r="F5" s="69">
        <f t="shared" si="0"/>
        <v>151.50140717383618</v>
      </c>
      <c r="G5" s="65">
        <v>24</v>
      </c>
      <c r="H5" s="81">
        <f t="shared" si="2"/>
        <v>151501.4071738362</v>
      </c>
      <c r="I5" s="65"/>
      <c r="J5" s="65"/>
      <c r="K5" s="65"/>
      <c r="L5" s="65"/>
      <c r="M5" s="65"/>
      <c r="N5" s="65"/>
    </row>
    <row r="6" spans="1:14" x14ac:dyDescent="0.2">
      <c r="A6" s="17" t="str">
        <f>'Signal Chains'!E2</f>
        <v>cable</v>
      </c>
      <c r="B6" s="68">
        <f>'Signal Chains'!E3</f>
        <v>21.804166666666667</v>
      </c>
      <c r="C6" s="68">
        <f t="shared" si="1"/>
        <v>151.50140717383618</v>
      </c>
      <c r="D6" s="77">
        <f>-'Signal Chains'!E5</f>
        <v>-0.27416666666666661</v>
      </c>
      <c r="E6" s="80">
        <f>'Signal Chains'!E6</f>
        <v>21.53</v>
      </c>
      <c r="F6" s="69">
        <f t="shared" si="0"/>
        <v>142.232878712282</v>
      </c>
      <c r="G6" s="65" t="s">
        <v>164</v>
      </c>
      <c r="H6" s="81">
        <f t="shared" si="2"/>
        <v>142232.87871228199</v>
      </c>
      <c r="I6" s="65"/>
      <c r="J6" s="65"/>
      <c r="K6" s="65"/>
      <c r="L6" s="65"/>
      <c r="M6" s="65"/>
      <c r="N6" s="65"/>
    </row>
    <row r="7" spans="1:14" x14ac:dyDescent="0.2">
      <c r="A7" s="17" t="str">
        <f>'Signal Chains'!F2</f>
        <v>SPDT</v>
      </c>
      <c r="B7" s="68">
        <f>'Signal Chains'!F3</f>
        <v>21.53</v>
      </c>
      <c r="C7" s="68">
        <f t="shared" si="1"/>
        <v>142.232878712282</v>
      </c>
      <c r="D7" s="77">
        <f>-'Signal Chains'!F5</f>
        <v>-2</v>
      </c>
      <c r="E7" s="80">
        <f>'Signal Chains'!F6</f>
        <v>19.53</v>
      </c>
      <c r="F7" s="69">
        <f t="shared" si="0"/>
        <v>89.742879450074881</v>
      </c>
      <c r="G7" s="65">
        <v>23</v>
      </c>
      <c r="H7" s="81">
        <f t="shared" si="2"/>
        <v>89742.879450074877</v>
      </c>
      <c r="I7" s="65"/>
      <c r="J7" s="65"/>
      <c r="K7" s="65"/>
      <c r="L7" s="65"/>
      <c r="M7" s="65"/>
      <c r="N7" s="65"/>
    </row>
    <row r="8" spans="1:14" x14ac:dyDescent="0.2">
      <c r="A8" s="17" t="str">
        <f>'Signal Chains'!G2</f>
        <v>cable</v>
      </c>
      <c r="B8" s="68">
        <f>'Signal Chains'!G3</f>
        <v>19.53</v>
      </c>
      <c r="C8" s="68">
        <f t="shared" si="1"/>
        <v>89.742879450074881</v>
      </c>
      <c r="D8" s="77">
        <f>-'Signal Chains'!G5</f>
        <v>-0.11749999999999999</v>
      </c>
      <c r="E8" s="80">
        <f>'Signal Chains'!G6</f>
        <v>19.412500000000001</v>
      </c>
      <c r="F8" s="69">
        <f t="shared" si="0"/>
        <v>87.347403576839909</v>
      </c>
      <c r="G8" s="65" t="s">
        <v>164</v>
      </c>
      <c r="H8" s="81">
        <f t="shared" si="2"/>
        <v>87347.403576839904</v>
      </c>
      <c r="I8" s="65"/>
      <c r="J8" s="65"/>
      <c r="K8" s="65"/>
      <c r="L8" s="65"/>
      <c r="M8" s="65"/>
      <c r="N8" s="65"/>
    </row>
    <row r="9" spans="1:14" x14ac:dyDescent="0.2">
      <c r="A9" s="17" t="str">
        <f>'Signal Chains'!H2</f>
        <v>Fix_Atten</v>
      </c>
      <c r="B9" s="68">
        <f>'Signal Chains'!H3</f>
        <v>19.412500000000001</v>
      </c>
      <c r="C9" s="68">
        <f t="shared" si="1"/>
        <v>87.347403576839909</v>
      </c>
      <c r="D9" s="77">
        <f>-'Signal Chains'!H5</f>
        <v>-10</v>
      </c>
      <c r="E9" s="80">
        <f>'Signal Chains'!H6</f>
        <v>9.4125000000000014</v>
      </c>
      <c r="F9" s="69">
        <f t="shared" si="0"/>
        <v>8.7347403576839859</v>
      </c>
      <c r="G9" s="65" t="s">
        <v>164</v>
      </c>
      <c r="H9" s="81">
        <f t="shared" si="2"/>
        <v>8734.7403576839861</v>
      </c>
      <c r="I9" s="65"/>
      <c r="J9" s="65"/>
      <c r="K9" s="65"/>
      <c r="L9" s="65"/>
      <c r="M9" s="65"/>
      <c r="N9" s="65"/>
    </row>
    <row r="10" spans="1:14" x14ac:dyDescent="0.2">
      <c r="A10" s="17" t="str">
        <f>'Signal Chains'!I2</f>
        <v>X2</v>
      </c>
      <c r="B10" s="68">
        <f>'Signal Chains'!I3</f>
        <v>9.4125000000000014</v>
      </c>
      <c r="C10" s="68">
        <f t="shared" si="1"/>
        <v>8.7347403576839859</v>
      </c>
      <c r="D10" s="77">
        <f>-'Signal Chains'!I5</f>
        <v>-12.5</v>
      </c>
      <c r="E10" s="80">
        <f>'Signal Chains'!I6</f>
        <v>-3.0874999999999986</v>
      </c>
      <c r="F10" s="69">
        <f t="shared" si="0"/>
        <v>0.49119054679336355</v>
      </c>
      <c r="G10" s="65" t="s">
        <v>164</v>
      </c>
      <c r="H10" s="81">
        <f t="shared" si="2"/>
        <v>491.19054679336352</v>
      </c>
      <c r="I10" s="65"/>
      <c r="J10" s="65"/>
      <c r="K10" s="65"/>
      <c r="L10" s="65"/>
      <c r="M10" s="65"/>
      <c r="N10" s="65"/>
    </row>
    <row r="11" spans="1:14" ht="38.25" x14ac:dyDescent="0.2">
      <c r="A11" s="17" t="str">
        <f>'Signal Chains'!J2</f>
        <v>Ultra Wide Bandwidth Amplifier</v>
      </c>
      <c r="B11" s="68">
        <f>'Signal Chains'!J3</f>
        <v>-3.0874999999999986</v>
      </c>
      <c r="C11" s="68">
        <f t="shared" si="1"/>
        <v>0.49119054679336355</v>
      </c>
      <c r="D11" s="77">
        <f>'Signal Chains'!J4</f>
        <v>12</v>
      </c>
      <c r="E11" s="80">
        <f>'Signal Chains'!J6</f>
        <v>8.9125000000000014</v>
      </c>
      <c r="F11" s="69">
        <f t="shared" si="0"/>
        <v>7.7848455381405399</v>
      </c>
      <c r="G11" s="65">
        <v>10</v>
      </c>
      <c r="H11" s="81">
        <f t="shared" si="2"/>
        <v>7784.8455381405402</v>
      </c>
      <c r="I11" s="65"/>
      <c r="J11" s="65"/>
      <c r="K11" s="65"/>
      <c r="L11" s="65"/>
      <c r="M11" s="65"/>
      <c r="N11" s="65"/>
    </row>
    <row r="12" spans="1:14" x14ac:dyDescent="0.2">
      <c r="A12" s="17" t="str">
        <f>'Signal Chains'!K2</f>
        <v>cable</v>
      </c>
      <c r="B12" s="68">
        <f>'Signal Chains'!K3</f>
        <v>8.9125000000000014</v>
      </c>
      <c r="C12" s="68">
        <f t="shared" si="1"/>
        <v>7.7848455381405399</v>
      </c>
      <c r="D12" s="77">
        <f>-'Signal Chains'!K5</f>
        <v>-0.11749999999999999</v>
      </c>
      <c r="E12" s="80">
        <f>'Signal Chains'!K6</f>
        <v>8.7950000000000017</v>
      </c>
      <c r="F12" s="69">
        <f t="shared" si="0"/>
        <v>7.577047328658626</v>
      </c>
      <c r="G12" s="65" t="s">
        <v>164</v>
      </c>
      <c r="H12" s="81">
        <f t="shared" si="2"/>
        <v>7577.0473286586257</v>
      </c>
      <c r="I12" s="65"/>
      <c r="J12" s="65"/>
      <c r="K12" s="65"/>
      <c r="L12" s="65"/>
      <c r="M12" s="65"/>
      <c r="N12" s="65"/>
    </row>
    <row r="13" spans="1:14" ht="25.5" x14ac:dyDescent="0.2">
      <c r="A13" s="17" t="str">
        <f>'Signal Chains'!L2</f>
        <v>Var_Atten: SA4077</v>
      </c>
      <c r="B13" s="68">
        <f>'Signal Chains'!L3</f>
        <v>8.7950000000000017</v>
      </c>
      <c r="C13" s="68">
        <f t="shared" si="1"/>
        <v>7.577047328658626</v>
      </c>
      <c r="D13" s="77">
        <f>-'Signal Chains'!L5</f>
        <v>-12</v>
      </c>
      <c r="E13" s="80">
        <f>'Signal Chains'!L6</f>
        <v>-3.2049999999999983</v>
      </c>
      <c r="F13" s="69">
        <f t="shared" si="0"/>
        <v>0.47807936614911867</v>
      </c>
      <c r="G13" s="65" t="s">
        <v>164</v>
      </c>
      <c r="H13" s="81">
        <f t="shared" si="2"/>
        <v>478.07936614911864</v>
      </c>
      <c r="I13" s="65"/>
      <c r="J13" s="65"/>
      <c r="K13" s="65"/>
      <c r="L13" s="65"/>
      <c r="M13" s="65"/>
      <c r="N13" s="65"/>
    </row>
    <row r="14" spans="1:14" x14ac:dyDescent="0.2">
      <c r="A14" s="17" t="str">
        <f>'Signal Chains'!M2</f>
        <v>cable</v>
      </c>
      <c r="B14" s="68">
        <f>'Signal Chains'!M3</f>
        <v>-3.2049999999999983</v>
      </c>
      <c r="C14" s="68">
        <f t="shared" si="1"/>
        <v>0.47807936614911867</v>
      </c>
      <c r="D14" s="77">
        <f>-'Signal Chains'!M5</f>
        <v>-0.11749999999999999</v>
      </c>
      <c r="E14" s="80">
        <f>'Signal Chains'!M6</f>
        <v>-3.3224999999999985</v>
      </c>
      <c r="F14" s="69">
        <f t="shared" si="0"/>
        <v>0.46531815774885998</v>
      </c>
      <c r="G14" s="65" t="s">
        <v>164</v>
      </c>
      <c r="H14" s="81">
        <f t="shared" si="2"/>
        <v>465.31815774885996</v>
      </c>
      <c r="I14" s="65"/>
      <c r="J14" s="65"/>
      <c r="K14" s="65"/>
      <c r="L14" s="65"/>
      <c r="M14" s="65"/>
      <c r="N14" s="65"/>
    </row>
    <row r="15" spans="1:14" x14ac:dyDescent="0.2">
      <c r="A15" s="17" t="str">
        <f>'Signal Chains'!N2</f>
        <v>band pass filter</v>
      </c>
      <c r="B15" s="68">
        <f>'Signal Chains'!N3</f>
        <v>-3.3224999999999985</v>
      </c>
      <c r="C15" s="68">
        <f t="shared" si="1"/>
        <v>0.46531815774885998</v>
      </c>
      <c r="D15" s="77">
        <f>-'Signal Chains'!N5</f>
        <v>-3</v>
      </c>
      <c r="E15" s="80">
        <f>'Signal Chains'!N6</f>
        <v>-6.322499999999998</v>
      </c>
      <c r="F15" s="69">
        <f t="shared" si="0"/>
        <v>0.23321152023868985</v>
      </c>
      <c r="G15" s="65">
        <v>30</v>
      </c>
      <c r="H15" s="81">
        <f t="shared" si="2"/>
        <v>233.21152023868984</v>
      </c>
      <c r="I15" s="65"/>
      <c r="J15" s="65"/>
      <c r="K15" s="65"/>
      <c r="L15" s="65"/>
      <c r="M15" s="65"/>
      <c r="N15" s="65"/>
    </row>
    <row r="16" spans="1:14" x14ac:dyDescent="0.2">
      <c r="A16" s="17" t="str">
        <f>'Signal Chains'!O2</f>
        <v>cable</v>
      </c>
      <c r="B16" s="68">
        <f>'Signal Chains'!O3</f>
        <v>-6.322499999999998</v>
      </c>
      <c r="C16" s="68">
        <f t="shared" si="1"/>
        <v>0.23321152023868985</v>
      </c>
      <c r="D16" s="77">
        <f>-'Signal Chains'!O5</f>
        <v>-0.1958333333333333</v>
      </c>
      <c r="E16" s="80">
        <f>'Signal Chains'!O6</f>
        <v>-6.5183333333333309</v>
      </c>
      <c r="F16" s="69">
        <f t="shared" si="0"/>
        <v>0.22292905069802021</v>
      </c>
      <c r="G16" s="65" t="s">
        <v>164</v>
      </c>
      <c r="H16" s="81">
        <f t="shared" si="2"/>
        <v>222.92905069802021</v>
      </c>
      <c r="I16" s="65"/>
      <c r="J16" s="65"/>
      <c r="K16" s="65"/>
      <c r="L16" s="65"/>
      <c r="M16" s="65"/>
      <c r="N16" s="65"/>
    </row>
    <row r="17" spans="1:14" ht="25.5" x14ac:dyDescent="0.2">
      <c r="A17" s="17" t="str">
        <f>'Signal Chains'!P2</f>
        <v>Power Amp:SPA-110-30-01-SMA</v>
      </c>
      <c r="B17" s="68">
        <f>'Signal Chains'!P3</f>
        <v>-6.5183333333333309</v>
      </c>
      <c r="C17" s="68">
        <f t="shared" si="1"/>
        <v>0.22292905069802021</v>
      </c>
      <c r="D17" s="77">
        <f>'Signal Chains'!P4</f>
        <v>32</v>
      </c>
      <c r="E17" s="80">
        <f>'Signal Chains'!P6</f>
        <v>25.481666666666669</v>
      </c>
      <c r="F17" s="69">
        <f t="shared" si="0"/>
        <v>353.31873485311087</v>
      </c>
      <c r="G17" s="65">
        <v>37</v>
      </c>
      <c r="H17" s="81">
        <f t="shared" si="2"/>
        <v>353318.73485311086</v>
      </c>
      <c r="I17" s="65"/>
      <c r="J17" s="65"/>
      <c r="K17" s="65"/>
      <c r="L17" s="65"/>
      <c r="M17" s="65"/>
      <c r="N17" s="65"/>
    </row>
    <row r="18" spans="1:14" x14ac:dyDescent="0.2">
      <c r="A18" s="17" t="str">
        <f>'Signal Chains'!Q2</f>
        <v>Fix_Atten</v>
      </c>
      <c r="B18" s="68">
        <f>'Signal Chains'!Q3</f>
        <v>25.481666666666669</v>
      </c>
      <c r="C18" s="68">
        <f>10^(B18/10)</f>
        <v>353.31873485311087</v>
      </c>
      <c r="D18" s="77">
        <f>-'Signal Chains'!Q5</f>
        <v>-3</v>
      </c>
      <c r="E18" s="80">
        <f>'Signal Chains'!Q6</f>
        <v>22.481666666666669</v>
      </c>
      <c r="F18" s="69">
        <f t="shared" si="0"/>
        <v>177.07883930971838</v>
      </c>
      <c r="G18" s="65" t="s">
        <v>164</v>
      </c>
      <c r="H18" s="81">
        <f>F18*10^3</f>
        <v>177078.83930971837</v>
      </c>
      <c r="I18" s="65"/>
      <c r="J18" s="65"/>
      <c r="K18" s="65"/>
      <c r="L18" s="65"/>
      <c r="M18" s="65"/>
      <c r="N18" s="65"/>
    </row>
    <row r="19" spans="1:14" x14ac:dyDescent="0.2">
      <c r="A19" s="17" t="str">
        <f>'Signal Chains'!R2</f>
        <v>cable</v>
      </c>
      <c r="B19" s="84">
        <f>'Signal Chains'!R3</f>
        <v>22.481666666666669</v>
      </c>
      <c r="C19" s="68">
        <f>10^(B19/10)</f>
        <v>177.07883930971838</v>
      </c>
      <c r="D19" s="77">
        <f>-'Signal Chains'!R5</f>
        <v>-0.11749999999999999</v>
      </c>
      <c r="E19" s="85">
        <f>'Signal Chains'!R6</f>
        <v>22.364166666666669</v>
      </c>
      <c r="F19" s="69">
        <f t="shared" si="0"/>
        <v>172.35213464160176</v>
      </c>
      <c r="G19" s="86" t="s">
        <v>164</v>
      </c>
      <c r="H19" s="81">
        <f>F19*10^3</f>
        <v>172352.13464160176</v>
      </c>
      <c r="I19" s="65"/>
      <c r="J19" s="65"/>
      <c r="K19" s="65"/>
      <c r="L19" s="65"/>
      <c r="M19" s="65"/>
      <c r="N19" s="65"/>
    </row>
    <row r="20" spans="1:14" x14ac:dyDescent="0.2">
      <c r="A20" s="17" t="str">
        <f>'Signal Chains'!S2</f>
        <v>SP4T</v>
      </c>
      <c r="B20" s="69">
        <f>'Signal Chains'!S3</f>
        <v>22.364166666666669</v>
      </c>
      <c r="C20" s="69">
        <f t="shared" si="1"/>
        <v>172.35213464160176</v>
      </c>
      <c r="D20" s="64">
        <f>-'Signal Chains'!S5</f>
        <v>-2</v>
      </c>
      <c r="E20" s="80">
        <f>'Signal Chains'!S6</f>
        <v>20.364166666666669</v>
      </c>
      <c r="F20" s="69">
        <f t="shared" si="0"/>
        <v>108.74684518895778</v>
      </c>
      <c r="G20" s="65" t="s">
        <v>178</v>
      </c>
      <c r="H20" s="81">
        <f t="shared" si="2"/>
        <v>108746.84518895778</v>
      </c>
    </row>
    <row r="21" spans="1:14" x14ac:dyDescent="0.2">
      <c r="A21" s="17" t="str">
        <f>'Signal Chains'!T2</f>
        <v>cable</v>
      </c>
      <c r="B21" s="69">
        <f>'Signal Chains'!T3</f>
        <v>20.364166666666669</v>
      </c>
      <c r="C21" s="69">
        <f t="shared" si="1"/>
        <v>108.74684518895778</v>
      </c>
      <c r="D21" s="64">
        <f>-'Signal Chains'!T5</f>
        <v>-1.41</v>
      </c>
      <c r="E21" s="80">
        <f>'Signal Chains'!T6</f>
        <v>18.954166666666669</v>
      </c>
      <c r="F21" s="69">
        <f t="shared" si="0"/>
        <v>78.59893593957861</v>
      </c>
      <c r="G21" s="65" t="s">
        <v>164</v>
      </c>
      <c r="H21" s="81">
        <f t="shared" si="2"/>
        <v>78598.935939578616</v>
      </c>
    </row>
    <row r="22" spans="1:14" x14ac:dyDescent="0.2">
      <c r="C22" s="2"/>
      <c r="D22" s="2"/>
      <c r="E22" s="7"/>
      <c r="F22" s="2"/>
    </row>
    <row r="23" spans="1:14" x14ac:dyDescent="0.2">
      <c r="C23" s="2"/>
      <c r="D23" s="2"/>
      <c r="E23" s="7"/>
      <c r="F23" s="2"/>
    </row>
    <row r="24" spans="1:14" x14ac:dyDescent="0.2">
      <c r="C24" s="2"/>
      <c r="D24" s="2"/>
      <c r="E24" s="7"/>
      <c r="F24" s="2"/>
    </row>
    <row r="25" spans="1:14" x14ac:dyDescent="0.2">
      <c r="C25" s="2"/>
      <c r="D25" s="2"/>
      <c r="E25" s="7"/>
      <c r="F25" s="2"/>
    </row>
    <row r="26" spans="1:14" x14ac:dyDescent="0.2">
      <c r="C26" s="2"/>
      <c r="D26" s="2"/>
      <c r="E26" s="7"/>
      <c r="F26" s="2"/>
    </row>
    <row r="27" spans="1:14" x14ac:dyDescent="0.2">
      <c r="C27" s="2"/>
      <c r="D27" s="2"/>
      <c r="E27" s="7"/>
      <c r="F27" s="2"/>
    </row>
    <row r="28" spans="1:14" x14ac:dyDescent="0.2">
      <c r="C28" s="2"/>
      <c r="D28" s="2"/>
      <c r="E28" s="7"/>
      <c r="F28" s="2"/>
    </row>
    <row r="29" spans="1:14" x14ac:dyDescent="0.2">
      <c r="C29" s="2"/>
      <c r="D29" s="2"/>
      <c r="E29" s="7"/>
      <c r="F29" s="2"/>
    </row>
    <row r="30" spans="1:14" x14ac:dyDescent="0.2">
      <c r="C30" s="2"/>
      <c r="D30" s="2"/>
      <c r="E30" s="7"/>
      <c r="F30" s="2"/>
    </row>
    <row r="31" spans="1:14" x14ac:dyDescent="0.2">
      <c r="C31" s="2"/>
      <c r="D31" s="2"/>
      <c r="E31" s="7"/>
      <c r="F31" s="2"/>
    </row>
    <row r="32" spans="1:14" x14ac:dyDescent="0.2">
      <c r="C32" s="2"/>
      <c r="D32" s="2"/>
      <c r="E32" s="7"/>
      <c r="F32" s="2"/>
    </row>
    <row r="33" spans="3:6" x14ac:dyDescent="0.2">
      <c r="C33" s="2"/>
      <c r="D33" s="2"/>
      <c r="E33" s="7"/>
      <c r="F33" s="2"/>
    </row>
    <row r="34" spans="3:6" x14ac:dyDescent="0.2">
      <c r="C34" s="2"/>
      <c r="D34" s="2"/>
      <c r="E34" s="7"/>
      <c r="F34" s="2"/>
    </row>
    <row r="35" spans="3:6" x14ac:dyDescent="0.2">
      <c r="C35" s="2"/>
      <c r="D35" s="2"/>
      <c r="E35" s="7"/>
      <c r="F35" s="2"/>
    </row>
    <row r="36" spans="3:6" x14ac:dyDescent="0.2">
      <c r="C36" s="2"/>
      <c r="D36" s="2"/>
      <c r="E36" s="7"/>
      <c r="F36" s="2"/>
    </row>
    <row r="37" spans="3:6" x14ac:dyDescent="0.2">
      <c r="C37" s="2"/>
      <c r="D37" s="2"/>
      <c r="E37" s="7"/>
      <c r="F37" s="2"/>
    </row>
    <row r="38" spans="3:6" x14ac:dyDescent="0.2">
      <c r="C38" s="2"/>
      <c r="D38" s="2"/>
      <c r="E38" s="7"/>
      <c r="F38" s="2"/>
    </row>
    <row r="39" spans="3:6" x14ac:dyDescent="0.2">
      <c r="C39" s="2"/>
    </row>
  </sheetData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9"/>
  <sheetViews>
    <sheetView zoomScale="80" zoomScaleNormal="80" workbookViewId="0">
      <selection activeCell="A12" sqref="A12"/>
    </sheetView>
  </sheetViews>
  <sheetFormatPr defaultRowHeight="12.75" x14ac:dyDescent="0.2"/>
  <cols>
    <col min="1" max="1" width="14.85546875" customWidth="1"/>
    <col min="2" max="2" width="13.28515625" bestFit="1" customWidth="1"/>
    <col min="3" max="3" width="13.28515625" customWidth="1"/>
    <col min="4" max="4" width="10" bestFit="1" customWidth="1"/>
    <col min="5" max="5" width="10.42578125" customWidth="1"/>
    <col min="6" max="6" width="10" bestFit="1" customWidth="1"/>
    <col min="7" max="7" width="11.7109375" customWidth="1"/>
    <col min="8" max="10" width="10" bestFit="1" customWidth="1"/>
    <col min="11" max="11" width="11.28515625" customWidth="1"/>
    <col min="12" max="12" width="10.28515625" bestFit="1" customWidth="1"/>
    <col min="13" max="13" width="12.7109375" customWidth="1"/>
  </cols>
  <sheetData>
    <row r="3" spans="1:13" ht="25.5" x14ac:dyDescent="0.2">
      <c r="B3" s="17" t="s">
        <v>106</v>
      </c>
      <c r="C3" s="17" t="s">
        <v>192</v>
      </c>
      <c r="D3" s="17" t="s">
        <v>107</v>
      </c>
      <c r="E3" s="16" t="s">
        <v>160</v>
      </c>
      <c r="F3" s="17" t="s">
        <v>108</v>
      </c>
      <c r="G3" s="17" t="s">
        <v>143</v>
      </c>
      <c r="H3" s="17" t="s">
        <v>140</v>
      </c>
      <c r="I3" s="17" t="s">
        <v>69</v>
      </c>
      <c r="J3" s="17" t="s">
        <v>150</v>
      </c>
      <c r="K3" s="17" t="s">
        <v>151</v>
      </c>
      <c r="L3" s="17" t="s">
        <v>73</v>
      </c>
      <c r="M3" s="17" t="s">
        <v>154</v>
      </c>
    </row>
    <row r="4" spans="1:13" ht="25.5" x14ac:dyDescent="0.2">
      <c r="A4" s="16" t="str">
        <f>'Signal Chains'!B16</f>
        <v>cable (from RX antenna)</v>
      </c>
      <c r="B4" s="69">
        <f>'Signal Chains'!B17</f>
        <v>-51.840660524923535</v>
      </c>
      <c r="C4" s="71">
        <f>10^(B4/10)</f>
        <v>6.5453661705099714E-6</v>
      </c>
      <c r="D4" s="65">
        <f>-'Signal Chains'!B19</f>
        <v>-1.41</v>
      </c>
      <c r="E4" s="69">
        <f>'Signal Chains'!B20</f>
        <v>0.72276980360217025</v>
      </c>
      <c r="F4" s="69">
        <f>'Signal Chains'!B21</f>
        <v>-53.250660524923532</v>
      </c>
      <c r="G4" s="71">
        <f>10^((F4)/10)</f>
        <v>4.7307930215637839E-6</v>
      </c>
      <c r="H4" s="71">
        <f>10^((F4-30)/10)</f>
        <v>4.7307930215637859E-9</v>
      </c>
      <c r="I4" s="65">
        <f>'Signal Chains'!B24</f>
        <v>1.41</v>
      </c>
      <c r="J4" s="70">
        <f>'Signal Chains'!B25</f>
        <v>1.3835663789717809</v>
      </c>
      <c r="K4" s="70">
        <f>'Signal Chains'!B26</f>
        <v>1.3835663789717809</v>
      </c>
      <c r="L4" s="69">
        <f>'Signal Chains'!B27</f>
        <v>111.23424990181647</v>
      </c>
      <c r="M4" s="69">
        <f>'Signal Chains'!B28</f>
        <v>108.79952815274267</v>
      </c>
    </row>
    <row r="5" spans="1:13" x14ac:dyDescent="0.2">
      <c r="A5" s="17" t="str">
        <f>'Signal Chains'!C16</f>
        <v>SP16T</v>
      </c>
      <c r="B5" s="69">
        <f>'Signal Chains'!C17</f>
        <v>-53.250660524923532</v>
      </c>
      <c r="C5" s="71">
        <f t="shared" ref="C5:C14" si="0">10^(B5/10)</f>
        <v>4.7307930215637839E-6</v>
      </c>
      <c r="D5" s="65">
        <f>-'Signal Chains'!C19</f>
        <v>-4.7</v>
      </c>
      <c r="E5" s="69">
        <f>'Signal Chains'!C20</f>
        <v>0.33884415613920249</v>
      </c>
      <c r="F5" s="69">
        <f>'Signal Chains'!C21</f>
        <v>-57.950660524923535</v>
      </c>
      <c r="G5" s="71">
        <f t="shared" ref="G5:G14" si="1">10^((F5)/10)</f>
        <v>1.6030015692610045E-6</v>
      </c>
      <c r="H5" s="71">
        <f t="shared" ref="H5:H14" si="2">10^((F5-30)/10)</f>
        <v>1.6030015692610048E-9</v>
      </c>
      <c r="I5" s="65">
        <f>'Signal Chains'!C24</f>
        <v>4.7</v>
      </c>
      <c r="J5" s="69">
        <f>'Signal Chains'!C25</f>
        <v>2.9512092266663861</v>
      </c>
      <c r="K5" s="69">
        <f>'Signal Chains'!C26</f>
        <v>4.0831938633269216</v>
      </c>
      <c r="L5" s="69">
        <f>'Signal Chains'!C27</f>
        <v>565.85067573325193</v>
      </c>
      <c r="M5" s="69">
        <f>'Signal Chains'!C28</f>
        <v>452.5357778189059</v>
      </c>
    </row>
    <row r="6" spans="1:13" x14ac:dyDescent="0.2">
      <c r="A6" s="17" t="str">
        <f>'Signal Chains'!D16</f>
        <v>cable</v>
      </c>
      <c r="B6" s="69">
        <f>'Signal Chains'!D17</f>
        <v>-57.950660524923535</v>
      </c>
      <c r="C6" s="71">
        <f t="shared" si="0"/>
        <v>1.6030015692610045E-6</v>
      </c>
      <c r="D6" s="65">
        <f>-'Signal Chains'!D19</f>
        <v>-0.11749999999999999</v>
      </c>
      <c r="E6" s="69">
        <f>'Signal Chains'!D20</f>
        <v>0.9733073432910333</v>
      </c>
      <c r="F6" s="69">
        <f>'Signal Chains'!D21</f>
        <v>-58.068160524923535</v>
      </c>
      <c r="G6" s="71">
        <f t="shared" si="1"/>
        <v>1.5602131986687881E-6</v>
      </c>
      <c r="H6" s="71">
        <f t="shared" si="2"/>
        <v>1.5602131986687832E-9</v>
      </c>
      <c r="I6" s="65">
        <f>'Signal Chains'!D24</f>
        <v>0.11749999999999999</v>
      </c>
      <c r="J6" s="69">
        <f>'Signal Chains'!D25</f>
        <v>1.0274246946691177</v>
      </c>
      <c r="K6" s="69">
        <f>'Signal Chains'!D26</f>
        <v>4.1951742083034773</v>
      </c>
      <c r="L6" s="69">
        <f>'Signal Chains'!D27</f>
        <v>7.9531614540441264</v>
      </c>
      <c r="M6" s="69">
        <f>'Signal Chains'!D28</f>
        <v>471.93060534289253</v>
      </c>
    </row>
    <row r="7" spans="1:13" x14ac:dyDescent="0.2">
      <c r="A7" s="17" t="str">
        <f>'Signal Chains'!E16</f>
        <v>band pass filter</v>
      </c>
      <c r="B7" s="69">
        <f>'Signal Chains'!E17</f>
        <v>-58.068160524923535</v>
      </c>
      <c r="C7" s="71">
        <f t="shared" si="0"/>
        <v>1.5602131986687881E-6</v>
      </c>
      <c r="D7" s="65">
        <f>-'Signal Chains'!E19</f>
        <v>-3</v>
      </c>
      <c r="E7" s="69">
        <f>'Signal Chains'!E20</f>
        <v>0.50118723362727224</v>
      </c>
      <c r="F7" s="69">
        <f>'Signal Chains'!E21</f>
        <v>-61.068160524923535</v>
      </c>
      <c r="G7" s="71">
        <f t="shared" si="1"/>
        <v>7.8195893690956717E-7</v>
      </c>
      <c r="H7" s="71">
        <f t="shared" si="2"/>
        <v>7.819589369095674E-10</v>
      </c>
      <c r="I7" s="65">
        <f>'Signal Chains'!E24</f>
        <v>3</v>
      </c>
      <c r="J7" s="69">
        <f>'Signal Chains'!E25</f>
        <v>1.9952623149688797</v>
      </c>
      <c r="K7" s="69">
        <f>'Signal Chains'!E26</f>
        <v>8.3704730025573344</v>
      </c>
      <c r="L7" s="69">
        <f>'Signal Chains'!E27</f>
        <v>288.6260713409751</v>
      </c>
      <c r="M7" s="69">
        <f>'Signal Chains'!E28</f>
        <v>1702.7154965742598</v>
      </c>
    </row>
    <row r="8" spans="1:13" ht="25.5" x14ac:dyDescent="0.2">
      <c r="A8" s="17" t="str">
        <f>'Signal Chains'!F16</f>
        <v>LNA:SLNA-120-38-22-SMA</v>
      </c>
      <c r="B8" s="69">
        <f>'Signal Chains'!F17</f>
        <v>-61.068160524923535</v>
      </c>
      <c r="C8" s="71">
        <f t="shared" si="0"/>
        <v>7.8195893690956717E-7</v>
      </c>
      <c r="D8" s="65">
        <f>'Signal Chains'!F18</f>
        <v>38</v>
      </c>
      <c r="E8" s="69">
        <f>'Signal Chains'!F20</f>
        <v>6309.5734448019384</v>
      </c>
      <c r="F8" s="69">
        <f>'Signal Chains'!F21</f>
        <v>-23.068160524923535</v>
      </c>
      <c r="G8" s="71">
        <f t="shared" si="1"/>
        <v>4.9338273432501601E-3</v>
      </c>
      <c r="H8" s="71">
        <f t="shared" si="2"/>
        <v>4.9338273432501609E-6</v>
      </c>
      <c r="I8" s="65">
        <f>'Signal Chains'!F24</f>
        <v>2.2000000000000002</v>
      </c>
      <c r="J8" s="69">
        <f>'Signal Chains'!F25</f>
        <v>1.6595869074375609</v>
      </c>
      <c r="K8" s="69">
        <f>'Signal Chains'!F26</f>
        <v>12.360924408039914</v>
      </c>
      <c r="L8" s="69">
        <f>'Signal Chains'!F27</f>
        <v>191.28020315689267</v>
      </c>
      <c r="M8" s="69">
        <f>'Signal Chains'!F28</f>
        <v>4704.4818438578404</v>
      </c>
    </row>
    <row r="9" spans="1:13" x14ac:dyDescent="0.2">
      <c r="A9" s="17" t="str">
        <f>'Signal Chains'!G16</f>
        <v>cable</v>
      </c>
      <c r="B9" s="69">
        <f>'Signal Chains'!G17</f>
        <v>-23.068160524923535</v>
      </c>
      <c r="C9" s="71">
        <f t="shared" si="0"/>
        <v>4.9338273432501601E-3</v>
      </c>
      <c r="D9" s="65">
        <f>-'Signal Chains'!G19</f>
        <v>-0.27416666666666661</v>
      </c>
      <c r="E9" s="69">
        <f>'Signal Chains'!G20</f>
        <v>0.93882216254982243</v>
      </c>
      <c r="F9" s="69">
        <f>'Signal Chains'!G21</f>
        <v>-23.342327191590201</v>
      </c>
      <c r="G9" s="71">
        <f t="shared" si="1"/>
        <v>4.6319864560375621E-3</v>
      </c>
      <c r="H9" s="71">
        <f t="shared" si="2"/>
        <v>4.631986456037559E-6</v>
      </c>
      <c r="I9" s="65">
        <f>'Signal Chains'!G24</f>
        <v>0.27416666666666661</v>
      </c>
      <c r="J9" s="69">
        <f>'Signal Chains'!G25</f>
        <v>1.0651644580737418</v>
      </c>
      <c r="K9" s="69">
        <f>'Signal Chains'!G26</f>
        <v>12.360945579986414</v>
      </c>
      <c r="L9" s="69">
        <f>'Signal Chains'!G27</f>
        <v>18.89769284138513</v>
      </c>
      <c r="M9" s="70">
        <f>'Signal Chains'!G28</f>
        <v>4704.506192120265</v>
      </c>
    </row>
    <row r="10" spans="1:13" ht="25.5" x14ac:dyDescent="0.2">
      <c r="A10" s="17" t="str">
        <f>'Signal Chains'!H16</f>
        <v>Var_Atten: SA4077</v>
      </c>
      <c r="B10" s="69">
        <f>'Signal Chains'!H17</f>
        <v>-23.342327191590201</v>
      </c>
      <c r="C10" s="71">
        <f t="shared" si="0"/>
        <v>4.6319864560375621E-3</v>
      </c>
      <c r="D10" s="65">
        <f>-'Signal Chains'!H19</f>
        <v>-14</v>
      </c>
      <c r="E10" s="69">
        <f>'Signal Chains'!H20</f>
        <v>3.9810717055349727E-2</v>
      </c>
      <c r="F10" s="69">
        <f>'Signal Chains'!H21</f>
        <v>-37.342327191590201</v>
      </c>
      <c r="G10" s="71">
        <f t="shared" si="1"/>
        <v>1.8440270220552351E-4</v>
      </c>
      <c r="H10" s="71">
        <f t="shared" si="2"/>
        <v>1.8440270220552356E-7</v>
      </c>
      <c r="I10" s="65">
        <f>'Signal Chains'!H24</f>
        <v>14</v>
      </c>
      <c r="J10" s="69">
        <f>'Signal Chains'!H25</f>
        <v>25.118864315095799</v>
      </c>
      <c r="K10" s="69">
        <f>'Signal Chains'!H26</f>
        <v>12.369069647446125</v>
      </c>
      <c r="L10" s="69">
        <f>'Signal Chains'!H27</f>
        <v>6994.4706513777819</v>
      </c>
      <c r="M10" s="69">
        <f>'Signal Chains'!H28</f>
        <v>4713.8578375546531</v>
      </c>
    </row>
    <row r="11" spans="1:13" x14ac:dyDescent="0.2">
      <c r="A11" s="16" t="str">
        <f>'Signal Chains'!I16</f>
        <v>Cable</v>
      </c>
      <c r="B11" s="72">
        <f>'Signal Chains'!I17</f>
        <v>-37.342327191590201</v>
      </c>
      <c r="C11" s="71">
        <f t="shared" si="0"/>
        <v>1.8440270220552351E-4</v>
      </c>
      <c r="D11" s="65">
        <f>-'Signal Chains'!I19</f>
        <v>-0.11749999999999999</v>
      </c>
      <c r="E11" s="69">
        <f>'Signal Chains'!I20</f>
        <v>0.9733073432910333</v>
      </c>
      <c r="F11" s="69">
        <f>'Signal Chains'!I21</f>
        <v>-37.4598271915902</v>
      </c>
      <c r="G11" s="71">
        <f t="shared" si="1"/>
        <v>1.7948050417934561E-4</v>
      </c>
      <c r="H11" s="71">
        <f t="shared" si="2"/>
        <v>1.7948050417934598E-7</v>
      </c>
      <c r="I11" s="65">
        <f>'Signal Chains'!K24</f>
        <v>0.47</v>
      </c>
      <c r="J11" s="69">
        <f>'Signal Chains'!I25</f>
        <v>1.0274246946691177</v>
      </c>
      <c r="K11" s="69">
        <f>'Signal Chains'!I26</f>
        <v>12.369185941756523</v>
      </c>
      <c r="L11" s="69">
        <f>'Signal Chains'!I27</f>
        <v>7.9531614540441264</v>
      </c>
      <c r="M11" s="69">
        <f>'Signal Chains'!I28</f>
        <v>4713.9918314256611</v>
      </c>
    </row>
    <row r="12" spans="1:13" ht="25.5" x14ac:dyDescent="0.2">
      <c r="A12" s="17" t="str">
        <f>'Signal Chains'!J16</f>
        <v>LNA:SLNA-180-38-25-SMA</v>
      </c>
      <c r="B12" s="69">
        <f>'Signal Chains'!J17</f>
        <v>-37.4598271915902</v>
      </c>
      <c r="C12" s="71">
        <f t="shared" si="0"/>
        <v>1.7948050417934561E-4</v>
      </c>
      <c r="D12" s="65">
        <f>'Signal Chains'!J18</f>
        <v>38</v>
      </c>
      <c r="E12" s="69">
        <f>'Signal Chains'!J20</f>
        <v>6309.5734448019384</v>
      </c>
      <c r="F12" s="69">
        <f>'Signal Chains'!J21</f>
        <v>0.54017280840979964</v>
      </c>
      <c r="G12" s="71">
        <f t="shared" si="1"/>
        <v>1.1324454230296626</v>
      </c>
      <c r="H12" s="71">
        <f t="shared" si="2"/>
        <v>1.1324454230296618E-3</v>
      </c>
      <c r="I12" s="65">
        <f>'Signal Chains'!J24</f>
        <v>2.5</v>
      </c>
      <c r="J12" s="69">
        <f>'Signal Chains'!J25</f>
        <v>1.778279410038923</v>
      </c>
      <c r="K12" s="69">
        <f>'Signal Chains'!J26</f>
        <v>33.763689213831313</v>
      </c>
      <c r="L12" s="69">
        <f>'Signal Chains'!J27</f>
        <v>225.70102891128766</v>
      </c>
      <c r="M12" s="69">
        <f>'Signal Chains'!J28</f>
        <v>689579.45968020603</v>
      </c>
    </row>
    <row r="13" spans="1:13" x14ac:dyDescent="0.2">
      <c r="A13" s="17" t="str">
        <f>'Signal Chains'!K16</f>
        <v>cable</v>
      </c>
      <c r="B13" s="69">
        <f>'Signal Chains'!K17</f>
        <v>0.54017280840979964</v>
      </c>
      <c r="C13" s="71">
        <f t="shared" si="0"/>
        <v>1.1324454230296626</v>
      </c>
      <c r="D13" s="65">
        <f>-'Signal Chains'!K19</f>
        <v>-0.47</v>
      </c>
      <c r="E13" s="69">
        <f>'Signal Chains'!K20</f>
        <v>0.89742879450074842</v>
      </c>
      <c r="F13" s="69">
        <f>'Signal Chains'!K21</f>
        <v>7.017280840979967E-2</v>
      </c>
      <c r="G13" s="71">
        <f t="shared" si="1"/>
        <v>1.0162891308274002</v>
      </c>
      <c r="H13" s="71">
        <f t="shared" si="2"/>
        <v>1.0162891308273993E-3</v>
      </c>
      <c r="I13" s="65">
        <f>'Signal Chains'!K24</f>
        <v>0.47</v>
      </c>
      <c r="J13" s="69">
        <f>'Signal Chains'!K25</f>
        <v>1.11429453359173</v>
      </c>
      <c r="K13" s="69">
        <f>'Signal Chains'!K26</f>
        <v>33.764156707205238</v>
      </c>
      <c r="L13" s="69">
        <f>'Signal Chains'!K27</f>
        <v>33.145414741601712</v>
      </c>
      <c r="M13" s="69">
        <f>'Signal Chains'!K28</f>
        <v>689653.72421118408</v>
      </c>
    </row>
    <row r="14" spans="1:13" ht="25.5" x14ac:dyDescent="0.2">
      <c r="A14" s="17" t="str">
        <f>'Signal Chains'!L16</f>
        <v>RF (IQ Demodulator)</v>
      </c>
      <c r="B14" s="69">
        <f>'Signal Chains'!L17</f>
        <v>7.017280840979967E-2</v>
      </c>
      <c r="C14" s="71">
        <f t="shared" si="0"/>
        <v>1.0162891308274002</v>
      </c>
      <c r="D14" s="65">
        <f>-'Signal Chains'!L19</f>
        <v>-7</v>
      </c>
      <c r="E14" s="69">
        <f>'Signal Chains'!L20</f>
        <v>0.19952623149688795</v>
      </c>
      <c r="F14" s="69">
        <f>'Signal Chains'!L21</f>
        <v>-6.9298271915902001</v>
      </c>
      <c r="G14" s="71">
        <f t="shared" si="1"/>
        <v>0.2027763403852389</v>
      </c>
      <c r="H14" s="71">
        <f t="shared" si="2"/>
        <v>2.0277634038523866E-4</v>
      </c>
      <c r="I14" s="65">
        <f>'Signal Chains'!L24</f>
        <v>7</v>
      </c>
      <c r="J14" s="69">
        <f>'Signal Chains'!L25</f>
        <v>5.0118723362727229</v>
      </c>
      <c r="K14" s="69">
        <f>'Signal Chains'!L26</f>
        <v>33.764884649753547</v>
      </c>
      <c r="L14" s="69">
        <f>'Signal Chains'!L27</f>
        <v>1163.4429775190897</v>
      </c>
      <c r="M14" s="69">
        <f>'Signal Chains'!L28</f>
        <v>689769.37879752892</v>
      </c>
    </row>
    <row r="18" spans="1:1" x14ac:dyDescent="0.2">
      <c r="A18" s="17"/>
    </row>
    <row r="19" spans="1:1" x14ac:dyDescent="0.2">
      <c r="A19" s="16"/>
    </row>
    <row r="20" spans="1:1" x14ac:dyDescent="0.2">
      <c r="A20" s="17"/>
    </row>
    <row r="21" spans="1:1" x14ac:dyDescent="0.2">
      <c r="A21" s="16"/>
    </row>
    <row r="22" spans="1:1" x14ac:dyDescent="0.2">
      <c r="A22" s="17"/>
    </row>
    <row r="23" spans="1:1" x14ac:dyDescent="0.2">
      <c r="A23" s="17"/>
    </row>
    <row r="24" spans="1:1" x14ac:dyDescent="0.2">
      <c r="A24" s="17"/>
    </row>
    <row r="25" spans="1:1" x14ac:dyDescent="0.2">
      <c r="A25" s="17"/>
    </row>
    <row r="26" spans="1:1" x14ac:dyDescent="0.2">
      <c r="A26" s="17"/>
    </row>
    <row r="27" spans="1:1" x14ac:dyDescent="0.2">
      <c r="A27" s="17"/>
    </row>
    <row r="28" spans="1:1" x14ac:dyDescent="0.2">
      <c r="A28" s="17"/>
    </row>
    <row r="29" spans="1:1" x14ac:dyDescent="0.2">
      <c r="A29" s="17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70" zoomScaleNormal="70" workbookViewId="0">
      <selection activeCell="E13" sqref="E13"/>
    </sheetView>
  </sheetViews>
  <sheetFormatPr defaultRowHeight="12.75" x14ac:dyDescent="0.2"/>
  <cols>
    <col min="1" max="1" width="15.42578125" customWidth="1"/>
    <col min="2" max="3" width="12.5703125" customWidth="1"/>
    <col min="4" max="4" width="11.42578125" customWidth="1"/>
  </cols>
  <sheetData>
    <row r="1" spans="1:18" ht="51" x14ac:dyDescent="0.2">
      <c r="A1" s="62" t="s">
        <v>155</v>
      </c>
      <c r="B1" s="62" t="s">
        <v>156</v>
      </c>
      <c r="C1" s="62" t="s">
        <v>161</v>
      </c>
      <c r="D1" s="62" t="s">
        <v>107</v>
      </c>
      <c r="E1" s="62" t="s">
        <v>158</v>
      </c>
      <c r="F1" s="62" t="s">
        <v>163</v>
      </c>
      <c r="G1" s="62" t="s">
        <v>157</v>
      </c>
      <c r="H1" s="63"/>
      <c r="I1" s="62"/>
      <c r="J1" s="63"/>
      <c r="K1" s="62"/>
    </row>
    <row r="2" spans="1:18" x14ac:dyDescent="0.2">
      <c r="A2" s="62" t="str">
        <f>'Signal Chains'!B9</f>
        <v>VCO</v>
      </c>
      <c r="B2" s="69">
        <f>'Signal Chains'!B10</f>
        <v>0</v>
      </c>
      <c r="C2" s="69">
        <f>10^(B2/10)</f>
        <v>1</v>
      </c>
      <c r="D2" s="68">
        <f>'Signal Chains'!B11</f>
        <v>0</v>
      </c>
      <c r="E2" s="68">
        <f>'Signal Chains'!B13</f>
        <v>-4</v>
      </c>
      <c r="F2" s="69">
        <f>10^(E2/10)</f>
        <v>0.3981071705534972</v>
      </c>
      <c r="G2" s="65" t="s">
        <v>164</v>
      </c>
      <c r="H2" s="17"/>
      <c r="M2" s="65"/>
      <c r="N2" s="65"/>
      <c r="O2" s="65"/>
      <c r="P2" s="65"/>
      <c r="Q2" s="65"/>
      <c r="R2" s="65"/>
    </row>
    <row r="3" spans="1:18" x14ac:dyDescent="0.2">
      <c r="A3" s="62" t="str">
        <f>'Signal Chains'!C9</f>
        <v>cable</v>
      </c>
      <c r="B3" s="69">
        <f>'Signal Chains'!C10</f>
        <v>-4</v>
      </c>
      <c r="C3" s="69">
        <f t="shared" ref="C3:C15" si="0">10^(B3/10)</f>
        <v>0.3981071705534972</v>
      </c>
      <c r="D3" s="68">
        <f>-'Signal Chains'!C12</f>
        <v>-0.1958333333333333</v>
      </c>
      <c r="E3" s="68">
        <f>'Signal Chains'!C13</f>
        <v>-4.1958333333333329</v>
      </c>
      <c r="F3" s="69">
        <f>10^(E3/10)</f>
        <v>0.38055432903456704</v>
      </c>
      <c r="G3" s="65" t="s">
        <v>164</v>
      </c>
      <c r="H3" s="17"/>
      <c r="M3" s="65"/>
      <c r="N3" s="65"/>
      <c r="O3" s="65"/>
      <c r="P3" s="65"/>
      <c r="Q3" s="65"/>
      <c r="R3" s="65"/>
    </row>
    <row r="4" spans="1:18" ht="37.5" customHeight="1" x14ac:dyDescent="0.2">
      <c r="A4" s="62" t="str">
        <f>'Signal Chains'!D9</f>
        <v>Super Ultra Wideband Amplifier</v>
      </c>
      <c r="B4" s="69">
        <f>'Signal Chains'!D10</f>
        <v>-4.1958333333333329</v>
      </c>
      <c r="C4" s="69">
        <f t="shared" si="0"/>
        <v>0.38055432903456704</v>
      </c>
      <c r="D4" s="68">
        <f>'Signal Chains'!D11</f>
        <v>26</v>
      </c>
      <c r="E4" s="68">
        <f>'Signal Chains'!D13</f>
        <v>21.804166666666667</v>
      </c>
      <c r="F4" s="69">
        <f t="shared" ref="F4:F14" si="1">10^(E4/10)</f>
        <v>151.50140717383618</v>
      </c>
      <c r="G4" s="65">
        <v>24</v>
      </c>
      <c r="K4" s="2"/>
      <c r="M4" s="65"/>
      <c r="N4" s="65"/>
      <c r="O4" s="65"/>
      <c r="P4" s="65"/>
      <c r="Q4" s="65"/>
      <c r="R4" s="65"/>
    </row>
    <row r="5" spans="1:18" x14ac:dyDescent="0.2">
      <c r="A5" s="62" t="str">
        <f>'Signal Chains'!E9</f>
        <v>cable</v>
      </c>
      <c r="B5" s="69">
        <f>'Signal Chains'!E10</f>
        <v>21.804166666666667</v>
      </c>
      <c r="C5" s="69">
        <f t="shared" si="0"/>
        <v>151.50140717383618</v>
      </c>
      <c r="D5" s="68">
        <f>-'Signal Chains'!E12</f>
        <v>-0.27416666666666661</v>
      </c>
      <c r="E5" s="68">
        <f>'Signal Chains'!E13</f>
        <v>21.53</v>
      </c>
      <c r="F5" s="69">
        <f t="shared" si="1"/>
        <v>142.232878712282</v>
      </c>
      <c r="G5" s="65" t="s">
        <v>164</v>
      </c>
      <c r="I5" s="2"/>
      <c r="J5" s="2"/>
      <c r="K5" s="2"/>
      <c r="M5" s="65"/>
      <c r="N5" s="65"/>
      <c r="O5" s="65"/>
      <c r="P5" s="65"/>
      <c r="Q5" s="65"/>
      <c r="R5" s="65"/>
    </row>
    <row r="6" spans="1:18" x14ac:dyDescent="0.2">
      <c r="A6" s="62" t="str">
        <f>'Signal Chains'!F9</f>
        <v>SPDT</v>
      </c>
      <c r="B6" s="69">
        <f>'Signal Chains'!F10</f>
        <v>21.53</v>
      </c>
      <c r="C6" s="69">
        <f t="shared" si="0"/>
        <v>142.232878712282</v>
      </c>
      <c r="D6" s="68">
        <f>-'Signal Chains'!F12</f>
        <v>-2</v>
      </c>
      <c r="E6" s="68">
        <f>'Signal Chains'!F13</f>
        <v>19.53</v>
      </c>
      <c r="F6" s="69">
        <f t="shared" si="1"/>
        <v>89.742879450074881</v>
      </c>
      <c r="G6" s="65">
        <v>27</v>
      </c>
      <c r="I6" s="2"/>
      <c r="J6" s="2"/>
      <c r="K6" s="2"/>
      <c r="M6" s="65"/>
      <c r="N6" s="65"/>
      <c r="O6" s="65"/>
      <c r="P6" s="65"/>
      <c r="Q6" s="65"/>
      <c r="R6" s="65"/>
    </row>
    <row r="7" spans="1:18" x14ac:dyDescent="0.2">
      <c r="A7" s="62" t="s">
        <v>104</v>
      </c>
      <c r="B7" s="69">
        <f>'Signal Chains'!G10</f>
        <v>19.53</v>
      </c>
      <c r="C7" s="69">
        <f t="shared" si="0"/>
        <v>89.742879450074881</v>
      </c>
      <c r="D7" s="68">
        <f>-'Signal Chains'!G12</f>
        <v>-0.11749999999999999</v>
      </c>
      <c r="E7" s="68">
        <f>'Signal Chains'!G13</f>
        <v>19.412500000000001</v>
      </c>
      <c r="F7" s="69">
        <f t="shared" si="1"/>
        <v>87.347403576839909</v>
      </c>
      <c r="G7" s="86" t="s">
        <v>164</v>
      </c>
      <c r="I7" s="2"/>
      <c r="J7" s="2"/>
      <c r="K7" s="2"/>
      <c r="M7" s="65"/>
      <c r="N7" s="65"/>
      <c r="O7" s="65"/>
      <c r="P7" s="65"/>
      <c r="Q7" s="65"/>
      <c r="R7" s="65"/>
    </row>
    <row r="8" spans="1:18" x14ac:dyDescent="0.2">
      <c r="A8" s="62" t="s">
        <v>124</v>
      </c>
      <c r="B8" s="69">
        <f>'Signal Chains'!H10</f>
        <v>19.412500000000001</v>
      </c>
      <c r="C8" s="69">
        <f t="shared" si="0"/>
        <v>87.347403576839909</v>
      </c>
      <c r="D8" s="68">
        <f>-'Signal Chains'!H12</f>
        <v>-10</v>
      </c>
      <c r="E8" s="68">
        <f>'Signal Chains'!H13</f>
        <v>9.4125000000000014</v>
      </c>
      <c r="F8" s="69">
        <f t="shared" si="1"/>
        <v>8.7347403576839859</v>
      </c>
      <c r="G8" s="65" t="s">
        <v>164</v>
      </c>
      <c r="I8" s="2"/>
      <c r="J8" s="2"/>
      <c r="K8" s="2"/>
      <c r="M8" s="65"/>
      <c r="N8" s="65"/>
      <c r="O8" s="65"/>
      <c r="P8" s="65"/>
      <c r="Q8" s="65"/>
      <c r="R8" s="65"/>
    </row>
    <row r="9" spans="1:18" x14ac:dyDescent="0.2">
      <c r="A9" s="62" t="str">
        <f>'Signal Chains'!I9</f>
        <v>cable</v>
      </c>
      <c r="B9" s="69">
        <f>'Signal Chains'!I10</f>
        <v>9.4125000000000014</v>
      </c>
      <c r="C9" s="69">
        <f t="shared" si="0"/>
        <v>8.7347403576839859</v>
      </c>
      <c r="D9" s="68">
        <f>-'Signal Chains'!I12</f>
        <v>-0.1958333333333333</v>
      </c>
      <c r="E9" s="68">
        <f>'Signal Chains'!I13</f>
        <v>9.2166666666666686</v>
      </c>
      <c r="F9" s="69">
        <f t="shared" si="1"/>
        <v>8.3496191527725898</v>
      </c>
      <c r="G9" s="65" t="s">
        <v>164</v>
      </c>
      <c r="I9" s="2"/>
      <c r="J9" s="2"/>
      <c r="K9" s="2"/>
      <c r="M9" s="65"/>
      <c r="N9" s="65"/>
      <c r="O9" s="65"/>
      <c r="P9" s="65"/>
      <c r="Q9" s="65"/>
      <c r="R9" s="65"/>
    </row>
    <row r="10" spans="1:18" ht="25.5" x14ac:dyDescent="0.2">
      <c r="A10" s="62" t="s">
        <v>86</v>
      </c>
      <c r="B10" s="69">
        <f>'Signal Chains'!J10</f>
        <v>9.2166666666666686</v>
      </c>
      <c r="C10" s="69">
        <f t="shared" si="0"/>
        <v>8.3496191527725898</v>
      </c>
      <c r="D10" s="68">
        <f>-'Signal Chains'!J12</f>
        <v>-12.5</v>
      </c>
      <c r="E10" s="68">
        <f>'Signal Chains'!J13</f>
        <v>-3.2833333333333314</v>
      </c>
      <c r="F10" s="69">
        <f t="shared" si="1"/>
        <v>0.46953358992048549</v>
      </c>
      <c r="G10" s="65" t="s">
        <v>164</v>
      </c>
      <c r="I10" s="2"/>
      <c r="J10" s="2"/>
      <c r="K10" s="2"/>
      <c r="M10" s="65"/>
      <c r="N10" s="65"/>
      <c r="O10" s="65"/>
      <c r="P10" s="65"/>
      <c r="Q10" s="65"/>
      <c r="R10" s="65"/>
    </row>
    <row r="11" spans="1:18" ht="38.25" x14ac:dyDescent="0.2">
      <c r="A11" s="62" t="str">
        <f>'Signal Chains'!K9</f>
        <v>Ultra Wide Bandwidth Amplifier</v>
      </c>
      <c r="B11" s="69">
        <f>'Signal Chains'!K10</f>
        <v>-3.2833333333333314</v>
      </c>
      <c r="C11" s="69">
        <f t="shared" si="0"/>
        <v>0.46953358992048549</v>
      </c>
      <c r="D11" s="68">
        <f>'Signal Chains'!K11</f>
        <v>12</v>
      </c>
      <c r="E11" s="68">
        <f>'Signal Chains'!K13</f>
        <v>8.7166666666666686</v>
      </c>
      <c r="F11" s="69">
        <f t="shared" si="1"/>
        <v>7.4416059029680568</v>
      </c>
      <c r="G11" s="65">
        <v>10</v>
      </c>
      <c r="I11" s="2"/>
      <c r="J11" s="2"/>
      <c r="K11" s="2"/>
      <c r="M11" s="65"/>
      <c r="N11" s="65"/>
      <c r="O11" s="65"/>
      <c r="P11" s="65"/>
      <c r="Q11" s="65"/>
      <c r="R11" s="65"/>
    </row>
    <row r="12" spans="1:18" x14ac:dyDescent="0.2">
      <c r="A12" s="62" t="str">
        <f>'Signal Chains'!L9</f>
        <v>cable</v>
      </c>
      <c r="B12" s="69">
        <f>'Signal Chains'!L10</f>
        <v>8.7166666666666686</v>
      </c>
      <c r="C12" s="69">
        <f t="shared" si="0"/>
        <v>7.4416059029680568</v>
      </c>
      <c r="D12" s="68">
        <f>-'Signal Chains'!L12</f>
        <v>-0.11749999999999999</v>
      </c>
      <c r="E12" s="68">
        <f>'Signal Chains'!L13</f>
        <v>8.5991666666666688</v>
      </c>
      <c r="F12" s="69">
        <f t="shared" si="1"/>
        <v>7.2429696712367129</v>
      </c>
      <c r="G12" s="65" t="s">
        <v>164</v>
      </c>
      <c r="I12" s="2"/>
      <c r="J12" s="2"/>
      <c r="K12" s="2"/>
      <c r="M12" s="65"/>
      <c r="N12" s="65"/>
      <c r="O12" s="65"/>
      <c r="P12" s="65"/>
      <c r="Q12" s="65"/>
      <c r="R12" s="65"/>
    </row>
    <row r="13" spans="1:18" x14ac:dyDescent="0.2">
      <c r="A13" s="62" t="s">
        <v>124</v>
      </c>
      <c r="B13" s="69">
        <f>'Signal Chains'!M10</f>
        <v>8.5991666666666688</v>
      </c>
      <c r="C13" s="69">
        <f t="shared" si="0"/>
        <v>7.2429696712367129</v>
      </c>
      <c r="D13" s="69">
        <f>-'Signal Chains'!M12</f>
        <v>-3</v>
      </c>
      <c r="E13" s="68">
        <f>'Signal Chains'!M13</f>
        <v>5.5991666666666688</v>
      </c>
      <c r="F13" s="69">
        <f t="shared" si="1"/>
        <v>3.6300839327733616</v>
      </c>
      <c r="G13" s="65" t="s">
        <v>164</v>
      </c>
      <c r="I13" s="2"/>
      <c r="J13" s="2"/>
      <c r="K13" s="2"/>
      <c r="M13" s="65"/>
      <c r="N13" s="65"/>
      <c r="O13" s="65"/>
      <c r="P13" s="65"/>
      <c r="Q13" s="65"/>
      <c r="R13" s="65"/>
    </row>
    <row r="14" spans="1:18" x14ac:dyDescent="0.2">
      <c r="A14" s="17" t="str">
        <f>'Signal Chains'!N9</f>
        <v>cable</v>
      </c>
      <c r="B14" s="73">
        <f>'Signal Chains'!N10</f>
        <v>5.5991666666666688</v>
      </c>
      <c r="C14" s="69">
        <f t="shared" si="0"/>
        <v>3.6300839327733616</v>
      </c>
      <c r="D14" s="73">
        <f>-'Signal Chains'!N12</f>
        <v>-0.47</v>
      </c>
      <c r="E14" s="83">
        <f>'Signal Chains'!N13</f>
        <v>5.1291666666666691</v>
      </c>
      <c r="F14" s="69">
        <f t="shared" si="1"/>
        <v>3.2577418477253346</v>
      </c>
      <c r="G14" s="66" t="s">
        <v>164</v>
      </c>
      <c r="I14" s="2"/>
      <c r="J14" s="2"/>
      <c r="K14" s="64"/>
      <c r="M14" s="65"/>
      <c r="N14" s="65"/>
      <c r="O14" s="65"/>
      <c r="P14" s="65"/>
      <c r="Q14" s="65"/>
      <c r="R14" s="65"/>
    </row>
    <row r="15" spans="1:18" x14ac:dyDescent="0.2">
      <c r="A15" s="17" t="str">
        <f>'Signal Chains'!O9</f>
        <v>LO(IQ)</v>
      </c>
      <c r="B15" s="73">
        <f>'Signal Chains'!O10</f>
        <v>5.1291666666666691</v>
      </c>
      <c r="C15" s="69">
        <f t="shared" si="0"/>
        <v>3.2577418477253346</v>
      </c>
      <c r="D15" s="73">
        <f>'Signal Chains'!O12</f>
        <v>0</v>
      </c>
      <c r="E15" s="73" t="str">
        <f>'Signal Chains'!O13</f>
        <v>-</v>
      </c>
      <c r="F15" s="70" t="s">
        <v>164</v>
      </c>
      <c r="G15" s="66" t="s">
        <v>164</v>
      </c>
    </row>
    <row r="17" spans="2:5" x14ac:dyDescent="0.2">
      <c r="B17" s="69"/>
      <c r="C17" s="69"/>
      <c r="D17" s="68"/>
      <c r="E17" s="69"/>
    </row>
    <row r="18" spans="2:5" x14ac:dyDescent="0.2">
      <c r="B18" s="69"/>
      <c r="C18" s="69"/>
      <c r="D18" s="68"/>
      <c r="E18" s="69"/>
    </row>
    <row r="19" spans="2:5" x14ac:dyDescent="0.2">
      <c r="B19" s="69"/>
      <c r="C19" s="69"/>
      <c r="D19" s="68"/>
      <c r="E19" s="69"/>
    </row>
    <row r="20" spans="2:5" x14ac:dyDescent="0.2">
      <c r="B20" s="69"/>
      <c r="C20" s="69"/>
      <c r="D20" s="68"/>
      <c r="E20" s="69"/>
    </row>
    <row r="21" spans="2:5" x14ac:dyDescent="0.2">
      <c r="B21" s="69"/>
      <c r="C21" s="69"/>
      <c r="D21" s="68"/>
      <c r="E21" s="69"/>
    </row>
    <row r="22" spans="2:5" x14ac:dyDescent="0.2">
      <c r="B22" s="69"/>
      <c r="C22" s="69"/>
      <c r="D22" s="68"/>
      <c r="E22" s="69"/>
    </row>
    <row r="23" spans="2:5" x14ac:dyDescent="0.2">
      <c r="B23" s="69"/>
      <c r="C23" s="69"/>
      <c r="D23" s="68"/>
      <c r="E23" s="69"/>
    </row>
    <row r="24" spans="2:5" x14ac:dyDescent="0.2">
      <c r="B24" s="82"/>
      <c r="C24" s="69"/>
      <c r="D24" s="82"/>
      <c r="E24" s="70"/>
    </row>
  </sheetData>
  <pageMargins left="0.7" right="0.7" top="0.75" bottom="0.75" header="0.3" footer="0.3"/>
  <pageSetup orientation="portrait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0"/>
  <sheetViews>
    <sheetView workbookViewId="0"/>
  </sheetViews>
  <sheetFormatPr defaultRowHeight="12.75" x14ac:dyDescent="0.2"/>
  <sheetData>
    <row r="2" spans="1:3" x14ac:dyDescent="0.2">
      <c r="A2" s="21" t="s">
        <v>168</v>
      </c>
    </row>
    <row r="4" spans="1:3" x14ac:dyDescent="0.2">
      <c r="A4" s="12" t="s">
        <v>173</v>
      </c>
      <c r="B4" s="12" t="s">
        <v>174</v>
      </c>
      <c r="C4" s="12" t="s">
        <v>175</v>
      </c>
    </row>
    <row r="5" spans="1:3" x14ac:dyDescent="0.2">
      <c r="A5">
        <f t="shared" ref="A5:A10" si="0">0.47/12</f>
        <v>3.9166666666666662E-2</v>
      </c>
      <c r="B5">
        <v>3</v>
      </c>
      <c r="C5" s="2">
        <f t="shared" ref="C5:C10" si="1">A5*B5</f>
        <v>0.11749999999999999</v>
      </c>
    </row>
    <row r="6" spans="1:3" x14ac:dyDescent="0.2">
      <c r="A6">
        <f t="shared" si="0"/>
        <v>3.9166666666666662E-2</v>
      </c>
      <c r="B6">
        <v>5</v>
      </c>
      <c r="C6" s="2">
        <f t="shared" si="1"/>
        <v>0.1958333333333333</v>
      </c>
    </row>
    <row r="7" spans="1:3" x14ac:dyDescent="0.2">
      <c r="A7">
        <f t="shared" si="0"/>
        <v>3.9166666666666662E-2</v>
      </c>
      <c r="B7">
        <v>7</v>
      </c>
      <c r="C7" s="2">
        <f t="shared" si="1"/>
        <v>0.27416666666666661</v>
      </c>
    </row>
    <row r="8" spans="1:3" x14ac:dyDescent="0.2">
      <c r="A8">
        <f t="shared" si="0"/>
        <v>3.9166666666666662E-2</v>
      </c>
      <c r="B8">
        <v>12</v>
      </c>
      <c r="C8" s="2">
        <f t="shared" si="1"/>
        <v>0.47</v>
      </c>
    </row>
    <row r="9" spans="1:3" x14ac:dyDescent="0.2">
      <c r="A9">
        <f t="shared" si="0"/>
        <v>3.9166666666666662E-2</v>
      </c>
      <c r="B9">
        <v>36</v>
      </c>
      <c r="C9" s="2">
        <f t="shared" si="1"/>
        <v>1.41</v>
      </c>
    </row>
    <row r="10" spans="1:3" x14ac:dyDescent="0.2">
      <c r="A10">
        <f t="shared" si="0"/>
        <v>3.9166666666666662E-2</v>
      </c>
      <c r="B10">
        <v>48</v>
      </c>
      <c r="C10" s="2">
        <f t="shared" si="1"/>
        <v>1.88</v>
      </c>
    </row>
  </sheetData>
  <hyperlinks>
    <hyperlink ref="A2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Range</vt:lpstr>
      <vt:lpstr>Signal Chains</vt:lpstr>
      <vt:lpstr>diagram</vt:lpstr>
      <vt:lpstr>components</vt:lpstr>
      <vt:lpstr>Compnonent Power</vt:lpstr>
      <vt:lpstr>TX chain</vt:lpstr>
      <vt:lpstr>Rx chain</vt:lpstr>
      <vt:lpstr>IQ demod</vt:lpstr>
      <vt:lpstr>Cables </vt:lpstr>
      <vt:lpstr>diagram!Print_Area</vt:lpstr>
      <vt:lpstr>'IQ demod'!Print_Area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PeteA</dc:creator>
  <cp:lastModifiedBy>studentpro</cp:lastModifiedBy>
  <cp:lastPrinted>2015-02-26T19:04:26Z</cp:lastPrinted>
  <dcterms:created xsi:type="dcterms:W3CDTF">2014-01-12T02:11:14Z</dcterms:created>
  <dcterms:modified xsi:type="dcterms:W3CDTF">2015-04-29T20:20:43Z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